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88" windowHeight="7176" activeTab="0"/>
  </bookViews>
  <sheets>
    <sheet name="Перечень" sheetId="1" r:id="rId1"/>
    <sheet name="По сферам" sheetId="2" r:id="rId2"/>
    <sheet name="Контракты с превышением лим" sheetId="3" r:id="rId3"/>
  </sheets>
  <externalReferences>
    <externalReference r:id="rId6"/>
  </externalReferences>
  <definedNames>
    <definedName name="_GoBack" localSheetId="0">'Перечень'!$B$138</definedName>
  </definedNames>
  <calcPr fullCalcOnLoad="1"/>
</workbook>
</file>

<file path=xl/sharedStrings.xml><?xml version="1.0" encoding="utf-8"?>
<sst xmlns="http://schemas.openxmlformats.org/spreadsheetml/2006/main" count="1550" uniqueCount="974">
  <si>
    <t>№ п/п</t>
  </si>
  <si>
    <t>Наименование социально значимого мероприятия</t>
  </si>
  <si>
    <t>Абдулинский городской округ (избирательный округ № 4, депутат Давлятов И.Я.)</t>
  </si>
  <si>
    <t>г. Бугуруслан (избирательный округ № 1, депутат Аверьянов Г.М.)</t>
  </si>
  <si>
    <t>г. Бузулук (избирательный округ № 2, депутат Дикман И.И.)</t>
  </si>
  <si>
    <t>Гайский городской округ (избирательный округ № 19, депутат Малюшин Е.Н.)</t>
  </si>
  <si>
    <t>Кувандыкский городской округ (избирательный округ № 17, депутат Гусейн С.С.)</t>
  </si>
  <si>
    <t>г. Медногорск (избирательный округ № 17, депутат Гусейн С.С.)</t>
  </si>
  <si>
    <t>г. Новотроицк (избирательный округ № 18, депутат Маслов Е.В.)</t>
  </si>
  <si>
    <t xml:space="preserve">г. Оренбург </t>
  </si>
  <si>
    <t>избирательный округ № 9, депутат Кузнецов А.Н.</t>
  </si>
  <si>
    <t>избирательный округ № 10, депутат Зеленцов Д.Г.</t>
  </si>
  <si>
    <t>избирательный округ № 11, депутат Куниловский А.А.</t>
  </si>
  <si>
    <t>избирательный округ № 12, депутат Фахрутдинов Д.И.</t>
  </si>
  <si>
    <t>избирательный округ № 13, депутат Димов О.Д.</t>
  </si>
  <si>
    <t>избирательный округ № 14, депутат Трубников А.С.</t>
  </si>
  <si>
    <t>г. Орск</t>
  </si>
  <si>
    <t>избирательный округ № 20, депутат Тишин В.В.</t>
  </si>
  <si>
    <t>избирательный округ № 21, депутат Швецов А.В.</t>
  </si>
  <si>
    <t>избирательный округ № 22, депутат Алкулов Е.К.</t>
  </si>
  <si>
    <t>Сорочинский городской округ (избирательный округ № 5, депутат Бабин С.А.)</t>
  </si>
  <si>
    <t>Ясненский городской округ (избирательный округ № 23, депутат Алейников С.Н.)</t>
  </si>
  <si>
    <t>ЗАТО Комаровский (избирательный округ № 23, депутат Алейников С.Н.)</t>
  </si>
  <si>
    <t>Адамовский район (избирательный округ № 23, депутат Алейников С.Н.)</t>
  </si>
  <si>
    <t>Акбулакский район (избирательный округ № 16, депутат Лукьянов А.Ф.)</t>
  </si>
  <si>
    <t>Александровский район (избирательный округ № 6, депутат Жарков А.Н.)</t>
  </si>
  <si>
    <t>Асекеевский район (избирательный округ № 4, депутат Давлятов И.Я.)</t>
  </si>
  <si>
    <t>Беляевский район (избирательный округ № 16, депутат Лукьянов А.Ф.)</t>
  </si>
  <si>
    <t>Бугурусланский район (избирательный округ № 1, депутат Аверьянов Г.М.)</t>
  </si>
  <si>
    <t>Бузулукский район (избирательный округ № 3, депутат Салмин С.А.)</t>
  </si>
  <si>
    <t>Грачевский район (избирательный округ № 3, депутат Салмин С.А.)</t>
  </si>
  <si>
    <t>Домбаровский район (избирательный округ № 22, депутат Алкулов Е.К.)</t>
  </si>
  <si>
    <t>Илекский район (избирательный округ № 7, депутат Коньков А.Ф.)</t>
  </si>
  <si>
    <t>Кваркенский район (избирательный округ № 23, депутат Алейников С.Н.)</t>
  </si>
  <si>
    <t>Красногвардейский район (избирательный округ № 6, депутат Жарков А.Н.)</t>
  </si>
  <si>
    <t>Курманаевский район (избирательный округ № 3, депутат Салмин С.А.)</t>
  </si>
  <si>
    <t>Матвеевский район (избирательный округ № 4, депутат Давлятов И.Я.)</t>
  </si>
  <si>
    <t>Новоорский район (избирательный округ № 19, депутат Малюшин Е.Н.)</t>
  </si>
  <si>
    <t>Новосергиевский район (избирательный округ № 7, депутат Коньков А.Ф.)</t>
  </si>
  <si>
    <t>Октябрьский район (избирательный округ № 6, депутат Жарков А.Н.)</t>
  </si>
  <si>
    <t xml:space="preserve">Оренбургский район </t>
  </si>
  <si>
    <t>избирательный округ № 15, депутат Кияев В.А.</t>
  </si>
  <si>
    <t>Первомайский район (избирательный округ № 3, депутат Салмин С.А.)</t>
  </si>
  <si>
    <t>Переволоцкий район (избирательный округ № 15, депутат Кияев В.А.)</t>
  </si>
  <si>
    <t>Пономаревский район (избирательный округ № 4, депутат Давлятов И.Я.)</t>
  </si>
  <si>
    <t>Сакмарский район (избирательный округ № 8, депутат Аникеев А.А.)</t>
  </si>
  <si>
    <t>Саракташский район (избирательный округ № 8, депутат Аникеев А.А.)</t>
  </si>
  <si>
    <t>Светлинский район (избирательный округ № 23, депутат Алейников С.Н.)</t>
  </si>
  <si>
    <t>Северный район (избирательный округ № 1, депутат Аверьянов Г.М.)</t>
  </si>
  <si>
    <t>Ташлинский район (избирательный округ № 7, депутат Коньков А.Ф.)</t>
  </si>
  <si>
    <t>Шарлыкский район (избирательный округ № 6, депутат Жарков А.Н.)</t>
  </si>
  <si>
    <t>Тюльганский район (избирательный округ № 8, депутат Аникеев А.А.)</t>
  </si>
  <si>
    <t>(тыс. рублей)</t>
  </si>
  <si>
    <t>Соль-Илецкий городской округ (избирательный округ № 16, депутат Лукьянов А.Ф.)</t>
  </si>
  <si>
    <t>итого</t>
  </si>
  <si>
    <t>Тоцкий район (избирательный округ № 5, депутат Бабин С.А.)</t>
  </si>
  <si>
    <t>Ремонт фасада здания МБУДО «ДШИ», п. Домбаровский</t>
  </si>
  <si>
    <t>Частичный ремонт фасада здания МБУДО «ДЮСШ», п. Домбаровский</t>
  </si>
  <si>
    <t>Ремонт фасада здания ЦДК, п. Домбаровский</t>
  </si>
  <si>
    <t>Частичный ремонт помещений здания сельского дома культуры, с. Домбаровка</t>
  </si>
  <si>
    <t xml:space="preserve">Капитальный ремонт кровли здания МБОУ «Сухореченская ООШ», с. Сухоречка </t>
  </si>
  <si>
    <t xml:space="preserve">Приобретение и монтаж спортивных,  уличных тренажеров с навесом по  пер. Октябрьский, с. Октябрьское </t>
  </si>
  <si>
    <t xml:space="preserve">Проектные, экспертные работы по приобретению, монтажу и установке сцены, скамеек в садово-парковом ансамбле «Аллея Славы» с. Октябрьское </t>
  </si>
  <si>
    <t>Капитальный ремонт спортивного зала МБОУ «Сергиевская СОШ» с.Сергиевка Первомайского района Оренбургской области</t>
  </si>
  <si>
    <t>Ремонт здания МБОУ Трудовская СОШ</t>
  </si>
  <si>
    <t>Ремонт Кармальского СДК в селе Кармалка пер.Библиотечный 1</t>
  </si>
  <si>
    <t>Приобретение автобуса МБОУ «Яшкинская СОШ» Красногвардейского района Оренбургской области, с. Яшкино, ул. Ленина, 34</t>
  </si>
  <si>
    <t xml:space="preserve">Капитальный ремонт здания  и приобретение  оборудования  МБУ ДОД Русскоигнашкинский  детский сад </t>
  </si>
  <si>
    <t>Ремонт  бюджетного учреждения культуры «Централизованная клубная система» Староякуповский СДК с. Староякупово</t>
  </si>
  <si>
    <t>Ремонт санузлов в Муниципальном бюджетном общеобразовательном учреждении  «Матвеевская средняя общеобразовательная школа» с. Матвеевка</t>
  </si>
  <si>
    <t xml:space="preserve">Капитальный ремонт помещений пристроенного здания МОАУ «Основная общеобразовательная школа № 2 поселка Аккермановка муниципального образования город Новотроицк Оренбургской области», расположенной по адресу: 462371, Оренбургская область, г.Новотроицк, п.Аккермановка, ул.Центральная, д.48 </t>
  </si>
  <si>
    <t>Проведение работ по созданию архитектурной доступности объектов (в том числе: устройство пандусов с установкой трехуровневых поручней и кнопки вызова помощи, расширение дверных проемов, замена напольных покрытий по пути следования из нескользящих материалов, демонтаж дверных порогов, установка трехуровневых перил вдоль стен внутри здания на первом этаже) в МДОАУ «Детский сад № 18 «Ручеек» комбинированного вида г.Новотроицка Оренбургской области», расположенного по адресу: 462359, Оренбургская область, г.Новотроицк, ул.Зеленая, дом № 19-Б</t>
  </si>
  <si>
    <t>Капитальный ремонт спортивного зала МОАУ «Средняя общеобразовательная школа №3 поселка Новорудный муниципального образования город Новотроицк Оренбургской области», расположенного по адресу: 462375, Оренбургская область, г.Новотроицк, п. Новорудный, ул. Советская, 96-А</t>
  </si>
  <si>
    <t>Закупка и монтаж спортивного оборудования и инвентаря МОАУ «Средняя общеобразовательная школа №3 поселка Новорудный муниципального образования город Новотроицк Оренбургской области», расположенного по адресу: 462375, Оренбургская область, г.Новотроицк, п. Новорудный, ул. Советская, 96-А</t>
  </si>
  <si>
    <t>Приобретение парашютных систем для МБУДО г.Бузулука «Центр детского творчества «Радуга»: г.Бузулук, ул.Чапаева, д.38</t>
  </si>
  <si>
    <t xml:space="preserve">Приобретение школьного автобуса </t>
  </si>
  <si>
    <t>Разработка проектной и сметной документации на капитальный ремонт детского сада «Улыбка» структурного подразделения МАДОУ детский сад «Колосок»</t>
  </si>
  <si>
    <t>Капитальный ремонт детского сада «Улыбка» структурного подразделения МАДОУ детский сад «Колосок»</t>
  </si>
  <si>
    <t>Капитальный ремонт кровли здания муниципального дошкольного образовательного бюджетного учреждения «Детский сад «Березка» п. Маякское Соль-Илецкого городского округа,  расположенного по адресу: Оренбургская область, Соль-Илецкий район, п. Маякское, ул. Центральная, 31</t>
  </si>
  <si>
    <t>Капитальный ремонт Новоилецкого сельского клуба муниципального бюджетного учреждения культуры «Клуб народного творчества» Соль-Илецкого городского округа Оренбургской области, расположенного по адресу: Оренбургская область, Соль-Илецкий район, с. Новоилецк, ул. Советская, 59</t>
  </si>
  <si>
    <t>Обустройство пандусов в Саратовском и Красномаякском сельских домах культуры муниципального бюджетного учреждения культуры «Клуб народного творчества» Соль-Илецкого городского округа Оренбургской области</t>
  </si>
  <si>
    <t>Приобретение пожарных ранцев для оснащения пожарных боксов по территориальным отделам муниципального образования Соль-Илецкий городской округ</t>
  </si>
  <si>
    <t xml:space="preserve">Ремонт спортивного зала МБУ г.Бузулука «Спортивная школа олимпийского резерва»: г.Бузулук, ул.Крестьянская/ Заводская, д.46/71  </t>
  </si>
  <si>
    <t>Проведение физкультурных мероприятий и массовых спортивных  мероприятий среди всех возрастных и социальных групп населения (по отдельному плану)</t>
  </si>
  <si>
    <t>Организация и проведение конкурса «Лучший работник культуры   города Бугуруслан»</t>
  </si>
  <si>
    <t>Проведение культурно-массовых мероприятий работниками учреждений культуры</t>
  </si>
  <si>
    <t>Оказание поддержки социально-ориентированным некоммерческим организациям города</t>
  </si>
  <si>
    <t>Проведение мероприятий в сфере молодежной политики (по отдельному плану)</t>
  </si>
  <si>
    <t xml:space="preserve">Капитальный ремонт спортивного зала МБОУ «Артемьевская СОШ» </t>
  </si>
  <si>
    <t xml:space="preserve">Приобретение автобуса для школьных перевозок </t>
  </si>
  <si>
    <t>Приобретение покрытия и оборудования для  плавательного бассейна МАУ «Олимп»</t>
  </si>
  <si>
    <t>Ремонт Мемориального комплекса, посвященного воинам, погибшим в годы Великой Отечественной войны 1941-1945 г.г., расположеннного по адресу: г.Бугуруслан ул. Революционная</t>
  </si>
  <si>
    <t>Благоустройство аллеи Славы, расположенной по адресу: г.Бугуруслан ул. Коммунистическая</t>
  </si>
  <si>
    <t>Текущий ремонт фасада муниципального бюджетного общеобразовательного учреждения «Средняя общеобразовательная школа № 2» муниципального образования «город Бугуруслан» ( корпус № 2)</t>
  </si>
  <si>
    <t>Замена окон муниципального автономного дошкольного образовательного учреждения муниципального образования «город Бугуруслан» «Детский сад комбинированного вида № 16»</t>
  </si>
  <si>
    <t>Ремонт кровли муниципального автономного дошкольного образовательного учреждения муниципального образования «город Бугуруслан» «Детский сад общеразвивающего вида № 7» с приоритетным осуществлением познавательно-речевого развития воспитанников</t>
  </si>
  <si>
    <t>Текущий ремонт стадиона «Нефтяник», находящегося в оперативном управлении МБУ СШ «Олимп» и расположенного по адресу: г. Бугуруслан. ул. Комсомольская, 85</t>
  </si>
  <si>
    <t xml:space="preserve">Ремонт  кровли в МАОУ «Средняя общеобразовательная школа № 4» </t>
  </si>
  <si>
    <t>Устройство и ремонт эвакуационных выходов и путей эвакуации в здании МБДОУ «Детский сад  «Теремок» п. Репино»</t>
  </si>
  <si>
    <t xml:space="preserve">Установка и ремонт оконных блоков, приобретение строительных материалов в МАДОУ «Детский сад № 13»  </t>
  </si>
  <si>
    <t>Установка и ремонт оконных блоков, приобретение строительных материалов в МАДОУ «Детский сад  № 14»</t>
  </si>
  <si>
    <t xml:space="preserve">Установка и ремонт оконных блоков, приобретение строительных материалов в МАДОУ «Детский сад № 18»  </t>
  </si>
  <si>
    <t xml:space="preserve">Установка и ремонт оконных блоков, приобретение строительных материалов в МАДОУ «Детский сад № 19»  </t>
  </si>
  <si>
    <t xml:space="preserve">Установка и ремонт оконных блоков, приобретение строительных материалов в МАДОУ «Детский сад № 20»  </t>
  </si>
  <si>
    <t xml:space="preserve">Установка и ремонт оконных блоков, приобретение строительных материалов в МБДОУ «Детский сад № 21»  </t>
  </si>
  <si>
    <t>Установка и ремонт оконных блоков, приобретение строительных материалов в МБДОУ «Детский сад  «Солнышко» п. Новониколаевка</t>
  </si>
  <si>
    <t xml:space="preserve"> Установка и ремонт оконных блоков, приобретение строительных материалов в МБОУ «Гимназия»    </t>
  </si>
  <si>
    <t>Установка и ремонт оконных блоков, приобретение строительных материалов в МБОУ «Репинская СОШ»</t>
  </si>
  <si>
    <t>Установка  и ремонт теневых навесов в МАДОУ «Детский сад  № 14»</t>
  </si>
  <si>
    <t>Установка  и ремонт теневых навесов в МБДОУ «Детский сад  № 15»</t>
  </si>
  <si>
    <t>Установка  и ремонт теневых навесов в МАДОУ «Детский сад  № 18»</t>
  </si>
  <si>
    <t>Установка  и ремонт теневых навесов в МАДОУ «Детский сад  № 20»</t>
  </si>
  <si>
    <t>Ремонт здания Чеботаревского сельского дома культуры МБУК «Централизованная клубная система» МО Кувандыкский городской округ и приобретение строительных материалов</t>
  </si>
  <si>
    <t>Ремонт кровли здания интерната при МБОУ «Ибрагимовская СОШ» им. А.Д.Трынова Кувандыкского городского округа Оренбургской области»</t>
  </si>
  <si>
    <t>Ремонтные работы, приобретение материалов МАОУ «СОШ № 2» Кувандыкского городского округа</t>
  </si>
  <si>
    <t>Разработка проектно-сметной документации на ремонт системы электроснабжения МАОУ «СОШ № 5» муниципального образования Кувандыкский городской округ</t>
  </si>
  <si>
    <t>Обустройство детской игровой площадки по адресу:  г. Медногорск Оренбургской области, в районе  ул.Советской, 31</t>
  </si>
  <si>
    <t xml:space="preserve">Ремонт кровли МБОУ «Блявтамакская средняя общеобразовательная школа города Медногорска», расположенного по адресу: г. Медногорск Оренбургской области,  ул. Совхозная д. 46 </t>
  </si>
  <si>
    <t xml:space="preserve">Приобретение звукоусиливающей аппаратуры для МБОУ «Основная общеобразовательная школа № 5 г. Медногорска», г. Медногорск  Оренбургской области, ул.Ключевая д.40 </t>
  </si>
  <si>
    <t>Приобретение оборудования и инвентаря МДОАУ "Детский сад  № 1 г. Орска"</t>
  </si>
  <si>
    <t>Приобретение оборудования и инвентаря МДОАУ "Детский сад  № 5 "Реченька" г. Орска"</t>
  </si>
  <si>
    <t>Приобретение оборудования и инвентаря МДОАУ "Детский сад  № 11 "Родничок" г. Орска"</t>
  </si>
  <si>
    <t>Приобретение оборудования и инвентаря МДОАУ "Детский сад  № 18 г. Орска"</t>
  </si>
  <si>
    <t>Приобретение оборудования и инвентаря МДОАУ "Детский сад  № 19 г. Орска"</t>
  </si>
  <si>
    <t>Приобретение оборудования и инвентаря МДОАУ "Детский сад  № 53" г. Орска</t>
  </si>
  <si>
    <t>Приобретение оборудования и инвентаря МДОАУ "Детский сад  № 55 "Солнышко" г. Орска"</t>
  </si>
  <si>
    <t xml:space="preserve"> Приобретение оборудования и инвентаря МДОАУ "Детский сад  № 78 "Пчелка"</t>
  </si>
  <si>
    <t xml:space="preserve"> Приобретение оборудования и инвентаря МДОАУ "Детский сад  № 102"</t>
  </si>
  <si>
    <t xml:space="preserve"> Приобретение оборудования и инвентаря МОАУ "СОШ № 25 г. Орска"</t>
  </si>
  <si>
    <t>Проведение фестиваля авторской песни «Бабье лето»</t>
  </si>
  <si>
    <t>Приобретение оборудования и инвентаря МДОАУ "Детский сад № 31 г. Орска"</t>
  </si>
  <si>
    <t>Приобретение оборудования и инвентаря, установка ограждения по периметру земельного участка  МДОАУ "Детский сад № 38 г. Орска"</t>
  </si>
  <si>
    <t xml:space="preserve"> Приобретение оборудования и инвентаря МДОАУ "Детский сад  № 60" г.Орска </t>
  </si>
  <si>
    <t xml:space="preserve"> Приобретение оборудования и инвентаря МДОАУ "Детский сад  № 65 г. Орска" </t>
  </si>
  <si>
    <t xml:space="preserve"> Приобретение оборудования и инвентаря МДОАУ "Детский сад № 103 "Аленушка" г. Орска"</t>
  </si>
  <si>
    <t xml:space="preserve"> Приобретение оборудования и инвентаря МДОАУ "Детский сад № 105 "Дюймовочка" г. Орска"</t>
  </si>
  <si>
    <t xml:space="preserve"> Приобретение оборудования и инвентаря МДОАУ "ЦРР - Д/С № 125" г. Орска"</t>
  </si>
  <si>
    <t xml:space="preserve"> Приобретение оборудования и инвентаря МОАУ "СОШ № 1 г. Орска"</t>
  </si>
  <si>
    <t xml:space="preserve"> Приобретение оборудования и инвентаря МОАУ "СОШ № 8 г. Орска им. А.К.Коровкина"</t>
  </si>
  <si>
    <t xml:space="preserve"> Приобретение оборудования и инвентаря МОАУ "СОШ № 31 г. Орска"</t>
  </si>
  <si>
    <t xml:space="preserve"> Приобретение оборудования и инвентаря МОАУ "СОШ № 50 г. Орска им. В.П. Поляничко"</t>
  </si>
  <si>
    <t xml:space="preserve"> Приобретение оборудования и инвентаря МОАУ "СОШ № 54 г. Орска"</t>
  </si>
  <si>
    <t xml:space="preserve"> Приобретение оборудования и инвентаря МОАУ "Гимназия № 2 г. Орска"</t>
  </si>
  <si>
    <t xml:space="preserve"> Приобретение оборудования и инвентаря МОАУ "ООШ № 26 г. Орска"</t>
  </si>
  <si>
    <t>Приобретение оборудования и инвентаря, установка оборудования и инвентаря  МОАУ "СОШ № 6 г. Орска"</t>
  </si>
  <si>
    <t>Приобретение оборудования и инвентаря, проведение ремонтных работ в МАУДО «ЦРТДЮ «Радость» (клуб "Современник" ул. Сормовская д.1)</t>
  </si>
  <si>
    <t>Приобретение оборудования и инвентаря МАУДО "ДШИ № 3" г. Орска</t>
  </si>
  <si>
    <t>Приобретение оборудования и инвентаря, проведение ремонтных работ в МАУК "ЦБС г. Орска" (филиал № 7 им. Гайдара, ул. Б. Хмельницкого, д. 5)</t>
  </si>
  <si>
    <t>Приобретение и установка беседок, проведение ремонтных работ в МДОАУ "Детский сад № 59 "Ручеёк" г. Орска</t>
  </si>
  <si>
    <t>Проведение ремонтных работ в  МДОАУ "Детский сад № 63 г. Орска"</t>
  </si>
  <si>
    <t>Проведение ремонтных работ, приобретение оборудования и инвентаря, строительных материалов, ограждение теневых навесов в МДОАУ "Детский сад № 83 "Искорка" г. Орска</t>
  </si>
  <si>
    <t>Приобретение и установка беседок, приобретение оборудования и инвентаря, строительных материалов в МДОАУ "ЦРР - детский сад № 94 "Радуга" г. Орска Оренбургской области"</t>
  </si>
  <si>
    <t>Приобретение  оборудования и инвентаря, установка оборудования и инвентаря, проведение ремонтных работ в МДОАУ "Детский сад № 95 г. Орска"</t>
  </si>
  <si>
    <t>Проведение ремонтных работ, приобретение оборудования и инвентаря, строительных материалов  МДОАУ "Детский сад № 96 "Рябинка" г. Орска"</t>
  </si>
  <si>
    <t>Приобретение оборудования и инвентаря, установка оборудования и инвентаря, проведение ремонтных работ в МДОАУ "Детский сад № 107 "Маячок" г. Орска"</t>
  </si>
  <si>
    <t>Приобретение оборудования и инвентаря, установка оборудования и инвентаря, проведение ремонтных работ в МДОАУ "Детский сад № 108 "Почемучка" г.Орска</t>
  </si>
  <si>
    <t>Приобретение оборудования и инвентаря, установка оборудования и инвентаря, проведение ремонтных работ в МДОАУ "Детский сад № 123 "Гармония" г. Орска</t>
  </si>
  <si>
    <t>Проведение ремонтных работ, приобретение оборудования и инвентаря, строительных материалов МДОАУ "Детский сад № 118 г. Орска"</t>
  </si>
  <si>
    <t>Приобретение  оборудования и инвентаря, установка оборудования и инвентаря, проведение ремонтных работ в МДОАУ "Детский сад № 124 г. Орска"</t>
  </si>
  <si>
    <t>Приобретение оборудования и инвентаря, установка оборудования и инвентаря, проведение ремонтных работ в МОАУ "СОШ № 11 г. Орска</t>
  </si>
  <si>
    <t xml:space="preserve">Благоустройство территории МОАУ "СОШ № 15 г. Орска" </t>
  </si>
  <si>
    <t>Приобретение оборудования и инвентаря, проведение ремонтных работ в МОАУ "СОШ № 28 г. Орска"</t>
  </si>
  <si>
    <t>Приобретение оборудования и инвентаря МОАУ "СОШ № 38 г. Орска" имени Героя Советского Союза Павла Ивановича Беляева"</t>
  </si>
  <si>
    <t xml:space="preserve">Благоустройство ул. Добровольского  </t>
  </si>
  <si>
    <t>Приобретение оборудования и инвентаря, установка оборудования и инвентаря, проведение ремонтных работ в  МОАУ "СОШ № 43 г. Орска"</t>
  </si>
  <si>
    <t>Приобретение оборудования и инвентаря, установка оборудования и инвентаря, проведение ремонтных работ в МАУДО "ЦРТДЮ "Искра" г. Орска"</t>
  </si>
  <si>
    <t>Приобретение  оборудования и инвентаря, установка оборудования и инвентаря, проведение ремонтных работ в МАУ ДО "ДШИ № 4" г. Орска</t>
  </si>
  <si>
    <t>Поисковое исследование на грунтовые воды на территории МАУДО "ДЮСШ "Надежда" г. Орска</t>
  </si>
  <si>
    <t>Проведение ремонтных работ, благоустройство территории МДОАУ  "Д/с № 12"</t>
  </si>
  <si>
    <t>Приобретение и установка беседок, проведение ремонтных работ, дооборудование  и установка автоматической противопожарной системы в МДОАУ "Д/С № 16 "Петушок" г. Орска"</t>
  </si>
  <si>
    <t>Приобретение оборудования и инвентаря, установка видеонаблюдения в  МДОАУ "Детский сад № 39 г.Орска"</t>
  </si>
  <si>
    <t>Установка окон, приобретение оборудования, инвентаря, строительных материалов МДОАУ "Детский сад № 48 "Гномик" г.Орска"</t>
  </si>
  <si>
    <t>Проведение ремонтных работ, приобретение оборудования, инвентаря, строительных материалов МДОАУ "Детский сад № 79 "Аистёнок" г. Орска</t>
  </si>
  <si>
    <t>Приобретение и установка беседок в  МДОАУ "Детский сад № 91 "Росинка" г. Орска"</t>
  </si>
  <si>
    <t>Приобретение оборудования и инвентаря, проведение ремонтных работ, установка домофона в МДОАУ "Детский сад № 98 г. Орска"</t>
  </si>
  <si>
    <t>Приобретение оборудования, инвентаря, строительных материалов, проведение ремонтных работ в МДОАУ "Детский сад № 106" г. Орска</t>
  </si>
  <si>
    <t>Приобретение оборудования, инвентаря, строительных материалов, проведение ремонтных работ в МДОАУ "ЦРР - детский сад № 104"  г. Орска</t>
  </si>
  <si>
    <t>Приобретение и установка беседок, изготовление и монтаж козырька здания, приобретение оборудования и инвентаря, проведение ремонтных работ в МДОАУ "ЦРР - д/с № 113" г. Орска</t>
  </si>
  <si>
    <t>Приобретение оборудования, инвентаря, строительных материалов, проведение ремонтных работ в  МАДОУ "Детский сад № 122 г. Орска"</t>
  </si>
  <si>
    <t>Приобретение оборудования и инвентаря, проведение ремонтных работ в МДОАУ "Детский сад № 147 "Теремок" г. Орска"</t>
  </si>
  <si>
    <t>Ремонт электропроводки, приобретение оборудования и инвентаря МДОАУ "Детский сад № 151 "Солнышко" г. Орска"</t>
  </si>
  <si>
    <t>Приобретение мебели МДОАУ "Детский сад № 115 г. Орска"</t>
  </si>
  <si>
    <t>Благоустройство территории МДОАУ "Детский сад № 208 "Самоцветик" г. Орска"</t>
  </si>
  <si>
    <t>Приобретение оборудования и инвентаря, установка системы видеонаблюдения в МОАУ "СОШ № 5 г. Орска"</t>
  </si>
  <si>
    <t>Проведение ремонтных работ, приобретение оборудования и инвентаря, установка видеонаблюдения в МОАУ "СОШ № 17 г. Орска"</t>
  </si>
  <si>
    <t>Приобретение оборудования и инвентаря, установка автоматической противопожарной системы в МОАУ "СОШ № 20 г. Орска"</t>
  </si>
  <si>
    <t>Приобретение оборудования и инвентаря, проведение ремонтных работ, установка окон в МОАУ "СОШ № 24 г. Орска"</t>
  </si>
  <si>
    <t>Проведение ремонтных работ, благоустройство территории  в  МОАУ "СОШ № 37 г. Орска"</t>
  </si>
  <si>
    <t>Установка голосового оповещения, установка автоматической противопожарной системы, приобретение строительных материалов, приобретение и установка перегородок в коридорах здания, проведение ремонтных работ в   МОАУ "СОШ № 49 г. Орска"</t>
  </si>
  <si>
    <t>Благоустройство территории МОАУ "СОШ № 51 г. Орска"</t>
  </si>
  <si>
    <t>Приобретение оборудования, инвентаря, строительных материалов, проведение ремонтных работ в МОАУ "ООШ № 63 г. Орска"</t>
  </si>
  <si>
    <t>Приобретение оборудования и инвентаря, проведение ремонтных работ, установка автоматической противопожарной системы в МОАУ "СОШ № 88  г. Орска"</t>
  </si>
  <si>
    <t>Проведение ремонтных работ, приобретение оборудования и инвентаря МОАУ "СОШ № 39 г. Орска"</t>
  </si>
  <si>
    <t>Капитальный ремонт помещения МБОУ «Комаровская средняя общеобразовательная школа» (здание начальной школы)</t>
  </si>
  <si>
    <t>Текущий ремонт МБОУ «Адамовская средняя общеобразовательная школа № 2»</t>
  </si>
  <si>
    <t xml:space="preserve">Устройство теневых навесов в МБДОУ «Детский сад № 6» п. Шильда </t>
  </si>
  <si>
    <t xml:space="preserve">Устройство теневых навесов в МБДОУ «Брацлавский детский сад № 14» п. Брацлавка </t>
  </si>
  <si>
    <t>Устройство теневых навесов в МБДОУ «Детский сад № 15 п. Совхозный</t>
  </si>
  <si>
    <t>Спортивная форма для МАУ ДО «АДЮСШ «Золотой колос»</t>
  </si>
  <si>
    <t>Пошив сценических костюмов для народного ансамбля танца «Сувенир» при муниципальном бюджетном учреждении РДК «Целинник»</t>
  </si>
  <si>
    <t>Капитальный ремонт здания МБОУ «Советская СОШ»</t>
  </si>
  <si>
    <t>Капитальный ремонт эвакуационных выходов в МБОУ «Детский сад № 6 «Чебурашка»</t>
  </si>
  <si>
    <t>Капитальный ремонт помещений спортзала МБОУ «Акбулакская СОШ № 2»</t>
  </si>
  <si>
    <t xml:space="preserve">Приобретение учебного и производственного оборудования в муниципальное общеобразовательное автономное учреждение "Средняя общеобразовательная школа № 2", г.Ясный, ул.Западная, 15 </t>
  </si>
  <si>
    <t xml:space="preserve">Ремонт кровли муниципального дошкольного образовательного автономного учреждения детский сад «Золотой ключик», г.Ясный, ул.Парковая 14а </t>
  </si>
  <si>
    <t>Ремонт в спортивном зале МБОУ Троицкая СОШ</t>
  </si>
  <si>
    <t>Приобретение спортивного инвентаря для МБУ ДО ДЮСШ</t>
  </si>
  <si>
    <t>Ремонт МБУ ДО «Детско юношеская спортивная школа»</t>
  </si>
  <si>
    <t>Ремонт МБОУ «Рождественская основная общеобразовательная школа»</t>
  </si>
  <si>
    <t>Приобретение спортивного оборудования, инвентаря для МБУ ДО «Детско юношеская спортивная школа»</t>
  </si>
  <si>
    <t>Замена оконных блоков в сельском Доме культуры с. Советское Бугурусланского района</t>
  </si>
  <si>
    <t>Замена дверного блока в помещении дошкольной группы здания МБОУ «Коровинская СОШ», с. Коровино Бугурусланского района</t>
  </si>
  <si>
    <t>Приобретение мягкого инвентаря для дошкольной группы МБОУ «Коровинская СОШ», с. Коровино Бугурусланского района</t>
  </si>
  <si>
    <t>Приобретение звуковой и усилительной аппаратуры для сельского Дома культуры с. Дмитриевка Бугурусланского района</t>
  </si>
  <si>
    <t>Организация и проведение конкурса среди работников муниципальных образовательных учреждений Бугурусланского района на звание «Лучший работник системы образования Бугурусланского района»</t>
  </si>
  <si>
    <t>Организация и проведение конкурса среди работников муниципальных учреждений культуры Бугурусланского района на звание «Лучший работник культуры Бугурусланского района»</t>
  </si>
  <si>
    <t>Приобретение спортивного инвентаря для МБОУ «Завьяловская СОШ», с. Завьяловка Бугурусланского района</t>
  </si>
  <si>
    <t>Приобретение концертных костюмов для сельского Дома культуры с. Нойкино Бугурусланского района</t>
  </si>
  <si>
    <t>Приобретение баяна для сельского Дома культуры с. Михайловка Бугурусланского района</t>
  </si>
  <si>
    <t>Устройство ограждения территории здания МБОУ «Нойкинская СОШ», с. Нойкино Бугурусланского района</t>
  </si>
  <si>
    <t>Приобретение спортивного инвентаря для МБОУ «Елатомская СОШ», с. Елатомка Бугурусланского района</t>
  </si>
  <si>
    <t>Установка системы видеонаблюдения в здании Старотюринского филиала МБОУ «Нойкинская СОШ», с. Старое Тюрино Бугурусланского района</t>
  </si>
  <si>
    <t>Замена оконных блоков с отделкой откосов в  МАДОУ «Красноярский детский сад» № 141, по адресу п. Красноярский, ул. Советская, 30 «Б».</t>
  </si>
  <si>
    <t>Приобретение и установка системы видеонаблюдения в  МАДОУ «Красноярский детский сад», по адресу п. Красноярский, ул. Садовая, 20.</t>
  </si>
  <si>
    <t xml:space="preserve">МАОУ "СОШ № 1 п. Энергетик": установка умывальников с подводкой сетей водопровода, канализации, электроснабжения в начальных классах           </t>
  </si>
  <si>
    <t xml:space="preserve">МОАУ Первый Новоорский лицей: капитальный ремонт пищеблока                                      </t>
  </si>
  <si>
    <t>МОУ «СОШ с. Добровольское» 
-устройство пандуса, кнопки вызова
-усиление конструкций здания спортзала</t>
  </si>
  <si>
    <t>МОУ «СОШ с. Будамша»:                                                                
-замена оконных блоков из ПВХ профиля в кабинетах</t>
  </si>
  <si>
    <t>МОУ "СОШ с. Горьковское»:                                                                
-замена дверных блоков из алюминиевого профиля на путях эвакуации</t>
  </si>
  <si>
    <t>МОУ "СОШ с. Чапаевка»:                     
-замена оконных блоков из ПВХ профиля в кабинетах</t>
  </si>
  <si>
    <t>МБДОУ "Детский сад»  № 1  п. Энергетик Новоорского   района:                                                                 
-капитальный ремонт ограждения</t>
  </si>
  <si>
    <t>МДОУ "Детский сад»   № 1 «Родничок»  п. Новоорск                                                                     
-капитальный ремонт  ограждения</t>
  </si>
  <si>
    <t>МДОУ "Детский сад» № 2 «Теремок» п. Новоорск                                                              
-капитальный ремонт туалетной комнаты, приемной ясельной группы</t>
  </si>
  <si>
    <t>МДОУ "Детский сад»  № 6 «Почемучка»  п. Новоорск                                                                     
-установка дополнительных дверных блоков из ПВХ профиля в группах</t>
  </si>
  <si>
    <t xml:space="preserve">МБУ ДО «Центр детского творчества Новоорского района»
-замена оконных блоков из ПВХ профиля в кабинетах
</t>
  </si>
  <si>
    <t xml:space="preserve">МБУК «Культурно-досуговый центр  «Добровольское» Новоорского района Оренбургской области
-капитальный ремонт кровли и частичный ремонт лицевой поверхности наружных стен Дома культуры
</t>
  </si>
  <si>
    <t>МБУК «Культурно-досуговый центр  «Чапаевка» Новоорского района Оренбургской области
-капитальный ремонт танцевального зала, фойе, тамбура, кровли Дома культуры</t>
  </si>
  <si>
    <t>Замена деревянных оконных блоков на блоки ПВХ в помещениях 2 этажа здания  МБОУ «ООШ с. Адамовка» по адресу: ул. Школьная, д.2, с. Адамовка</t>
  </si>
  <si>
    <t>Ремонт мягкой кровли МБОУ «СОШ с.Кичкасс»</t>
  </si>
  <si>
    <t>Замена деревянных оконных блоков на блоки ПВХ в здании  Первого Зубочистенского СДК – филиала МБУК «МЦКС Переволоцкого района»</t>
  </si>
  <si>
    <t>Приобретение энергосберегающих ламп для уличного освещения с. Наурузово</t>
  </si>
  <si>
    <t>Ремонт входной группы здания МАОУ «Дюсметьевская СОШ»</t>
  </si>
  <si>
    <t>Ремонт кровли здания МАОУ «Романовская СОШ»</t>
  </si>
  <si>
    <t>Приобретение мягкого инвентаря МАДОУ Детский сад «Сказка»</t>
  </si>
  <si>
    <t>Приобретение мягкого инвентаря МАДОУ Детский сад «Улыбка»</t>
  </si>
  <si>
    <t>Приобретение мягкого инвентаря МАДОУ Детский сад «Ак Каен»</t>
  </si>
  <si>
    <t>Обустройство периметрального ограждения  МАОУ «Воздвиженская ООШ»</t>
  </si>
  <si>
    <t>Обустройство теневых навесов МАДОУ Детский сад «Улыбка»</t>
  </si>
  <si>
    <t>Обустройство теневых навесов МАДОУ Детский сад «Ак каен»</t>
  </si>
  <si>
    <t>Благоустройство прилегающей территории к зданию МБОУ «Тат.Каргалинская СОШ», с. Татарская Каргала</t>
  </si>
  <si>
    <t>Текущий ремонт Районного центра досуга МБУК «Центральная клубная система Саракташского района Оренбургской области»  и приобретение материалов</t>
  </si>
  <si>
    <t xml:space="preserve">Текущий ремонт и приобретение материалов Центральной районной библиотеки МБУК «Центральная библиотечная система Саракташского района Оренбургской области» </t>
  </si>
  <si>
    <t>Текущий ремонт МАУ «Культурно-развлекательный центр «Мир» и приобретение материалов</t>
  </si>
  <si>
    <t>Текущий ремонт МАУ физкультурно-оздоровительный  комплекс «Надежда» и приобретение материалов</t>
  </si>
  <si>
    <t>Капитальный ремонт   Дома культуры с. Петровское МБУК «Центральная клубная система Саракташского района Оренбургской области»  и приобретение строительных материалов</t>
  </si>
  <si>
    <t>Текущий ремонт мягкой кровли МОБУ «Саракташская СОШ № 3 в п.Саракташ, ул.Геологов, 14а Саракташского района Оренбургской области и приобретение материалов</t>
  </si>
  <si>
    <t>Капитальный  ремонт здания МДОБУ "Саракташский детский сад № 5" п.Саракташ, ул.Мира 20, Саракташского района, Оренбургской области  и приобретение материалов</t>
  </si>
  <si>
    <t>Текущий ремонт здания МОБУ «Кабановская ООШ» с.Кабанкино, ул. Школьная, 29, Саракташского района Оренбургской области и приобретение материалов</t>
  </si>
  <si>
    <t>Текущий ремонт мягкой кровли котельной МОБУ «Саракташская СОШ № 2 в п.Саракташ, ул.Первомайская 97 Саракташского района Оренбургской области и приобретение материалов</t>
  </si>
  <si>
    <t>Устройство малых форм  для МДОБУ "Саракташский детский сад № 6", п.Саракташ. ул.Мира 69, Саракташского района, Оренбургской области</t>
  </si>
  <si>
    <t>Текущий ремонт здания МДОБУ "Саракташский детский сад № 4" п.Саракташ, ул.Степная, 92, Саракташского района, Оренбургской области  и приобретение материалов</t>
  </si>
  <si>
    <t>Приобретение оборудования и инвентаря для МБОУ "Соковская средняя общеобразовательная школа" Северного района Оренбургской области с.Соковка</t>
  </si>
  <si>
    <t>Приобретение игрушек для МБДОУ "Детский сад "Сказочная поляна" Северного района Оренбургской области с.Северное</t>
  </si>
  <si>
    <t>Приобретение концертных костюмов МБУК "Централизованная Клубная Система" Северного района Оренбургской области (Соковский СДК) с. Соковка</t>
  </si>
  <si>
    <t>Приобретение концертных костюмов МБУК "Централизованная Клубная Система" Северного района Оренбургской области</t>
  </si>
  <si>
    <t>Организация и проведение конкурса среди работников образования Северного района «Лучший работник системы образования  Северного района»</t>
  </si>
  <si>
    <t>Организация и проведение конкурса среди работников учреждений культуры Северного района «Лучший работник культуры Северного района»</t>
  </si>
  <si>
    <t>Замена окон в МБУК «Централизованная Клубная Система» Северного района Оренбургской области (Кряжлинский СДК) с. Кряжлы</t>
  </si>
  <si>
    <t>Приобретение форменной одежды для кадетского класса в МБОУ "Русскокандызская средняя общеобразовательная школа" Северного района Оренбургской области с. Р.Кандыз</t>
  </si>
  <si>
    <t>Приобретение хозяйственного инвентаря для  МБУК "Централизованная Клубная Система" Северного района Оренбургской области</t>
  </si>
  <si>
    <t>Ремонт площадки для пляжного волейбола, приобретение спортивного оборудования и инвентаря МОБУДОД "Северная детско-юношеская спортивная школа" Северного района Оренбургской области.</t>
  </si>
  <si>
    <t>Приобретение  хозяйственного инвентаря для Аксенкинского филиала МБОУ "Русскокандызская средняя общеобразовательная школа" Северного района Оренбургской области</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</si>
  <si>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35, г. Оренбург ул. Салмышская, 29/3</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</si>
  <si>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МДОАУ № 110, г. Оренбург ул. Всесоюзная, 14/3</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</si>
  <si>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114,  г. Оренбург ул. Дружбы, 12/1.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</si>
  <si>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МДОАУ № 141, г. Оренбург ул. Родимцева, 10/3</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</si>
  <si>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«СОШ № 69», г. Оренбург ул. Просторная, 14/1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</si>
  <si>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«СОШ № 23», г. Оренбург ул. Просторная, 4</t>
  </si>
  <si>
    <t xml:space="preserve">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«Лицей № 5», г. Оренбург ул. Джангильдина, 11/1  </t>
  </si>
  <si>
    <t xml:space="preserve">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«Гимназия № 8», г. Оренбург ул. Салмышская, 3/2 </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</si>
  <si>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«Лицей № 4», г. Оренбург ул. Дружбы, 7/2</t>
  </si>
  <si>
    <t xml:space="preserve">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«СОШ № 67», г. Оренбург  ул. Всесоюзная, 10/1 </t>
  </si>
  <si>
    <t>Ремонт хоккейного корта по ул. Брестская, 16/1, г. Оренбурга</t>
  </si>
  <si>
    <t>Благоустройство дворовой территории (МАФ) по ул. Джангильдина, 10 г. Оренбург</t>
  </si>
  <si>
    <t>Благоустройство дворовой территории по ул. Волгоградская, 5 г. Оренбург</t>
  </si>
  <si>
    <t>Благоустройство дворовой территории по ул. Волгоградская, 24 г. Оренбург</t>
  </si>
  <si>
    <t>Благоустройства дворовой территории г. Оренбург пер. Дальний, 37</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</si>
  <si>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 г. Оренбург с. Краснохолм, ул. Липовая, 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</si>
  <si>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«СОШ № 71»,  г. Оренбург  ул. Джангильдина, 6</t>
  </si>
  <si>
    <t>Благоустройства дворовой территории г. Оренбург  ул. Волгоградская, 12/1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</si>
  <si>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«СОШ № 31», г. Оренбург ул. Братская, 8/1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</si>
  <si>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МБУДО «ДМШ № 4» г. Оренбург ул. Брестская, 5/1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</si>
  <si>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МБУДО «ДШИ № 6»  г. Оренбург ул. Конституции СССР, д. 23</t>
  </si>
  <si>
    <t>Приобретение, монтаж, ремонт и содержание объектов внешнего благоустройства на территории Северного округа г. Оренбурга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</si>
  <si>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СОШ № 95 г. Оренбург п. Каргала ул. Ленинская, 2в</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</si>
  <si>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«СОШ № 62»  г. Оренбург ул. Львовская, 13</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</si>
  <si>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«СОШ № 40 с углубленным изучением математики имени В.М. Барбазюка», г. Оренбург ул. Культурная, 21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</si>
  <si>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64, г. Оренбург пер. Связной, 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</si>
  <si>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«СОШ № 15», г. Оренбург  ул. Бр. Башиловых, 18</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</si>
  <si>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«СОШ № 1 с углубленным изучением математики, литературы и русского языка», г. Оренбург  ул. Народная, 16/1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</si>
  <si>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«СОШ № 41», г. Оренбург  ул. Пролетарская, 99</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</si>
  <si>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162,  г. Оренбург пер. Дорожный, 18</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</si>
  <si>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180», г. Оренбург  ул. Котова, 101а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</si>
  <si>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МДОАУ «Детский сад № 44», г. Оренбург пер. Сырейный, 3</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</si>
  <si>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12, г. Оренбург пер. Станочный, 8а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</si>
  <si>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86, г. Оренбург пер. Станочный, 16</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</si>
  <si>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84, г. Оренбург  ул. Магистральная, 4а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</si>
  <si>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188, г. Оренбург  ул. Бр. Башиловых, 2</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</si>
  <si>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 45, г. Оренбург пер. Станочный, 8</t>
  </si>
  <si>
    <t>Приобретение спортивного снаряжения и инвентаря для отделения пауэрлифтинга МБУ СШ № 2 «Прогресс» г. Оренбург пр. Победы, 158</t>
  </si>
  <si>
    <t>Благоустройство территории парка им. А. Прохоренко, г. Оренбург ул. Новая</t>
  </si>
  <si>
    <t>Оформление округа к праздничным мероприятиям День Победы, День города (монтаж, демонтаж)</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</si>
  <si>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83», г. Оренбург ул. М.Жукова, 34А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</si>
  <si>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2» г. Оренбург ул. М. Жукова, 29</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</si>
  <si>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109» г. Оренбург пр. Парковый, 9а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</si>
  <si>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173» г. Оренбург ул. Сухарева,151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</si>
  <si>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59» г. Оренбург ул. Карагандинская, 50</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</si>
  <si>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121» г. Оренбург ул. Карагандинская, 90А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</si>
  <si>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 г. Оренбург ул. Одесская, 142</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</si>
  <si>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90» г. Оренбург ул. Томилинская, 240А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</si>
  <si>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МДОБУ «Детский сад № 48» г. Оренбург ул. Полигонная, 12</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</si>
  <si>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МДОБУ «Детский сад № 88» г. Оренбург ул. Шевченко, 32</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</si>
  <si>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174» г. Оренбург ул. Гусева, 16</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</si>
  <si>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95» г. Оренбург п. Нижнесакмарский  ул. Центральная, 1а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</si>
  <si>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«Лицей № 1» г. Оренбург ул. Харьковская, 14.</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</si>
  <si>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«Лицей № 8» г. Оренбург ул. Терешковой, 14</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</si>
  <si>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«Гимназия № 7» г.Оренбург ул. Терешковой, 8</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</si>
  <si>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«Средняя общеобразовательная школа № 25» г. Оренбург  ул. Туркестанская, 6а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</si>
  <si>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«Средняя общеобразовательная школа № 47» г. Оренбург пер. Квартальный, 2</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</si>
  <si>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«Средняя общеобразовательная школа № 5» г. Оренбург  ул. Самолетная, 91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</si>
  <si>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«Средняя общеобразовательная школа № 17» г. Оренбург ул. Орджоникидзе, 226</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</si>
  <si>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«Средняя общеобразовательная школа № 72» г. Оренбург  ул. Туркестанская, 55/5</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</si>
  <si>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в МОБУ «СОШ № 38» г. Оренбург ул. Совхозная, 31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</si>
  <si>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«Средняя общеобразовательная школа № 46 г. Оренбург ул. Курача, 24</t>
  </si>
  <si>
    <t xml:space="preserve">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«Средняя общеобразовательная школа № 49 г. Оренбург пер. Флотский, 16 </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</si>
  <si>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«Средняя общеобразовательная школа №37» г. Оренбург пос. Нижнесакмарский ул. Молодежная, 17</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</si>
  <si>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МБУДО «Дворец творчества детей и молодежи» г. Оренбург ул. Карагандинская, 37а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</si>
  <si>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МБУ «Библиотечная информационная система» филиал № 17 г. Оренбург ул. Полигонная, 11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</si>
  <si>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МБУ «Библиотечная информационная система» филиал № 18 г. Оренбург ул. Карагандинская, 58</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</si>
  <si>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МБУ «Библиотечная информационная система» филиал № 3 г. Оренбург пр. Победы, 3</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</si>
  <si>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МБУДО «ДТДиМ» ОГДОО «Ассоциация Радуга» г. Оренбург пер. Хлебный, 2</t>
  </si>
  <si>
    <t>Ремонт асфальтового покрытия дворового проезда от въезда во двор до подъезда № 3 дома № 72  по ул. Орджоникидзе, г. Оренбург</t>
  </si>
  <si>
    <t>Благоустройство дворовой территории (МАФ) по пр. Победы, 133, г. Оренбург</t>
  </si>
  <si>
    <t>Благоустройство дворовой территории (МАФ) по пр. Победы, 130, г. Оренбург</t>
  </si>
  <si>
    <t>Благоустройство дворовой территории (МАФ) по ул. Полигонной, 32В, г. Оренбург</t>
  </si>
  <si>
    <t>Благоустройство дворовой территории (МАФ) по ул. Самолетной 216, 216А, ул. Ялтинской, 6, г. Оренбург</t>
  </si>
  <si>
    <t>Ремонт дороги по ул. Луговой от д.91 и до д.88 по ул. Карагандинской, г. Оренбург</t>
  </si>
  <si>
    <t>Ремонт дороги по ул. Карагандинской, 90</t>
  </si>
  <si>
    <t>Приобретение элементов  внешнего благоустройства Южного округа г. Оренбурга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</si>
  <si>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МАУ СШ по боксу г. Оренбург ул. Красная Площадь, 3/5</t>
  </si>
  <si>
    <t xml:space="preserve">Установка недостающих светильников по проезду  Крымский 1-й, г. Оренбург </t>
  </si>
  <si>
    <t>Проектные, экспертные, ремонтные, монтажные работы, противоаварийные мероприятия и благоустройство территории спортивной площадки (стадион), приобретение основных средств и материалов МОБУ Лицей № 9 г. Оренбург ул. Пикетная, 63</t>
  </si>
  <si>
    <t>Приобретение светильников для уличного освещения в селе Городище Южного округа г. Оренбурга</t>
  </si>
  <si>
    <t>Приобретение световой иллюминации для оформления Южного округа г. Оренбурга</t>
  </si>
  <si>
    <t>Обустройство асфальтового валика для отвода паводковых и дождевых вод г. Оренбург пр. Гагарина, 25/3</t>
  </si>
  <si>
    <t>Ремонт въезда на дворовую территорию к жилым домам № 43, 43/1, 43/3 по пр. Гагарина г. Оренбург</t>
  </si>
  <si>
    <t>Ремонт пешеходного тротуара вдоль ГБУСО «Комплексный центр социального обслуживания населения» в Южном округе г. Оренбурга пр. Гагарина, 43А</t>
  </si>
  <si>
    <t>Ремонт пешеходной дорожки от магазина «Ринг» (пр. Гагарина, 54/1) до пешеходного перехода и до проезжей части по пр. Гагарина, 54/1, г. Оренбург</t>
  </si>
  <si>
    <t>Ремонт входных групп, ремонт асфальтового покрытия пешеходной дорожки от торца дома по ул. Карагандинская, 53, г. Оренбург</t>
  </si>
  <si>
    <t>Ремонт пешеходной дорожки вдоль дома между проезжей частью и жилым домом № 14 по ул. Алтайская г. Оренбурга</t>
  </si>
  <si>
    <t>Обустройство пешеходной дорожки от ГБУЗ «Оренбургский клинический перинатальный центр» по пр. Гагарина, 23 до пешеходной дорожки, проходящей вдоль ограждения МОБУ «СОШ № 76» по пр. Гагарина, 25</t>
  </si>
  <si>
    <t>Приобретение формы для участия в патриотических мероприятиях учащихся МБОУ  "Северная средняя общеобразовательная школа № 2" Северного района Оренбургской области с. Северное</t>
  </si>
  <si>
    <t>Ремонт системы отопления МБДОУ «Детский сад «Аленка» п. Тюльган</t>
  </si>
  <si>
    <t xml:space="preserve">Ремонт кровли здания МБДОУ «Благодарновский детский сад» по ул. Новая, дом № 1/1  </t>
  </si>
  <si>
    <t xml:space="preserve">Ремонт внутренней части помещения  здания библиотеки села Репьевка </t>
  </si>
  <si>
    <t>Ремонт кровли здания МБДОУ «Детский сад «Аленка» п. Тюльган</t>
  </si>
  <si>
    <t xml:space="preserve">Ремонт кровли здания МБДОУ «Благодарновский детский сад» по ул. Школьная, дом № 27/3 </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</si>
  <si>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«СОШ № 61», г. Оренбург ул. Химическая, 7</t>
  </si>
  <si>
    <t xml:space="preserve">Приобретение мебели и оборудования для открытия ясельных групп МБДОУ Детский сад «Жемчужинка» п. Пригородный, расположенный по адресу: Оренбургская область, Оренбургский район, п. Пригородный, ул.Мира, д.14 </t>
  </si>
  <si>
    <t>Проведение противоаварийных мероприятий здания МБОУ «Соловьевская СОШ» Оренбургский район,п. Соловьевка, ул.Набережная, 15</t>
  </si>
  <si>
    <t xml:space="preserve">Ремонт раздевалок и душевых в спортзале МБОУ «Южноуральская СОШ» Оренбургский район, с. Южный Урал, ул. Буденного д. 28а </t>
  </si>
  <si>
    <t>Замена окон в столовой и пищеблоке МБОУ «Дедуровская СОШ» Оренбургский район с. Дедуровка, ул. Ленинская,   д. 4</t>
  </si>
  <si>
    <t>Установка  теневого навеса в детском саду «Полюшко» МБОУ «Пугачевская СОШ» Оренбургского района</t>
  </si>
  <si>
    <t>Ремонт раздевалок и коридора спортзала МБОУ «Пригородная СОШ № 1» Оренбургский район,  п. Пригородный, ул.Центральная, д.5</t>
  </si>
  <si>
    <t>Установка теневого навеса в МБДОУ Детский сад «Зернышко» с. Дедуровка Оренбургского района</t>
  </si>
  <si>
    <t>Установка теневого навеса в МБДОУ Детский сад «Радуга» п. Первомайский Оренбургского района</t>
  </si>
  <si>
    <t>Установка теневого навеса в детском саду «Лучик» МБОУ «Приуральская СОШ» Оренбургского района</t>
  </si>
  <si>
    <t>Ремонт ограждения МБОУ «Каменноозерная СОШ» Оренбургского района, расположенный по адресу: Оренбургский район, с. Каменноозерное, ул.Центральная, 12</t>
  </si>
  <si>
    <t>Ремонт входной группы детского сада МБОУ «Пугачевская СОШ» Оренбургского района, расположенное по адресу: Оренбургский район, п. Пугачевский, Новая, 12</t>
  </si>
  <si>
    <t>Замена оконных блоков спортивного зала, ремонт полов, стен МБОУ «Зубаревская ООШ» Оренбургского района, расположенное по адресу: Оренбургский район, с. Зубаревка, ул.Молодежная, 9</t>
  </si>
  <si>
    <t>Замена оконных блоков детского сада МБОУ «Зубаревская ООШ» Оренбургского района, расположенное по адресу: Оренбургский район, с. Зубаревка,  ул. Центральная, 54</t>
  </si>
  <si>
    <t xml:space="preserve">Ремонт здания СДК, расположенного по адресу, Оренбургский район, с.Бродецкое, ул. Победы, д.2 </t>
  </si>
  <si>
    <t xml:space="preserve">Ремонт аппаратной комнаты МБУК ТМЦ «Караванный РДК», расположенного по адресу, Оренбургский район, п. Караванный, ул. Советская, д.8 </t>
  </si>
  <si>
    <t>Приведение в нормативное состояние эвакуационных выходов и путей эвакуации в МБДОУ «Детский сад «Василек» х. Чулошникова Оренбургского района, расположенное по адресу: Оренбургский район х. Чулошников, ул.Центральная, 23</t>
  </si>
  <si>
    <t>Приведение в нормативное состояние эвакуационных выходов и путей эвакуации 2 этажа МБОУ «Бродецкая СОШ» Оренбургского района, расположенное по адресу: Оренбургский район, с. Бродецкое, пер. Школьный, 3</t>
  </si>
  <si>
    <t xml:space="preserve">Ремонт кровли МБОУ «Горная СОШ», расположенное по адресу: Оренбургская область, Оренбургский район, пос. Горный, пер. Тупой, д. 2 </t>
  </si>
  <si>
    <t xml:space="preserve">Замена оконных конструкций и приобретение производственного и хозяйственного инвентаря МБДОУ Детский сад «Тополек» п. Юный, расположенный по адресу Оренбургский район, п.Юный, ул. Мира, 2 </t>
  </si>
  <si>
    <t xml:space="preserve">Устройство теневого навеса и приобретение производственного и хозяйственного инвентаря МБДОУ Детский сад «Солнышко» п. Горный, расположенный по адресу: Оренбургский район, п. Горный, ул. Центральная, д.11 </t>
  </si>
  <si>
    <t xml:space="preserve">Ремонт групповой МБОУ «Начальная  школа-детский сад» п. Весенний Оренбургского района, расположенный по адресу: Оренбургский район, п. Весенний, ул. Садовая, 20 </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</si>
  <si>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комбинированного вида № 65», г. Оренбург  ул. Юркина, 1</t>
  </si>
  <si>
    <t>Проведение мероприятий по развитию интеллектуальных и творческих способностей детей (по отдельному плану)</t>
  </si>
  <si>
    <t>Проведение культурно массовых мероприятий работниками учреждений культуры (по отдельному плану)</t>
  </si>
  <si>
    <t>Проведение физкультурных мероприятий и массовых спортивных мероприятий (по отдельному плану)</t>
  </si>
  <si>
    <t xml:space="preserve">Ремонт здания пожарного депо,  находящегося в муниципальной собственности муниципального образования Соль-Илецкий городской округ, расположенного по адресу:  Оренбургская область, Соль-Илецкий район, село Линевка (за исключением расходов, относящихся к бюджетным инвестициям)  </t>
  </si>
  <si>
    <t>Ремонт гаража пожарного автомобиля,  находящегося в муниципальной собственности муниципального образования Соль-Илецкий городской округ, расположенного по адресу:  Оренбургская область, Соль-Илецкий район, село Изобильное (за исключением расходов, относящихся к бюджетным инвестициям)</t>
  </si>
  <si>
    <t>Капитальный ремонт здания, находящегося   в муниципальной собственности  под  дошкольную группу на 35 детей в  МОБУ "Черкасская СОШ имени Григория Тимофеевича Чумакова " по адресу: Оренбургская область, Саракташский  район, с.Черкассы, ул. Советская,  15В, и приобретение материалов. мебели и мягкого инвентаря.</t>
  </si>
  <si>
    <t xml:space="preserve">Текущий ремонт здания МКУ «ЦОД администрации района» и приобретение материалов для обеспечения размещения районного архива по адресу: п.Саракташ, ул.Трудовая, 43А. </t>
  </si>
  <si>
    <t>Приобретение муниципальным бюджетным учреждением МО «город Бугуруслан» «Централизованная библиотечная система города Бугуруслана» книги «270 фактов из истории города Бугуруслана»</t>
  </si>
  <si>
    <t>Приобретение муниципальным бюджетным учреждением МО «город Бугуруслан» «Централизованная библиотечная система города Бугуруслана» справочника «Культура города Бугуруслана: история и современность»</t>
  </si>
  <si>
    <t xml:space="preserve">Приобретение спортивного инвентаря Комитетом по физической культуре спорту и туризму администрации МО «город Бугуруслан» </t>
  </si>
  <si>
    <t>Обустройство пешеходной дорожки к муниципальному бюджетному дошкольному образовательному учреждению МО «город Бугуруслан» «Детский сад № 3», расположенного по адресу: г. Бугуруслан, ул. Широкая, д.27, в рамках благоустройства территории</t>
  </si>
  <si>
    <t>Ремонт входной группы (крыльца) здания МБУК Централизованная клубная система с. Асекеево</t>
  </si>
  <si>
    <t>Приобретение аппаратуры (фотоаппарат, видеокамера) и костюмов для МБУК ЦКС (РДК) с. Асекеево</t>
  </si>
  <si>
    <t>Ремонтные и проектные работы в спортивном зале МБОУ Воздвиженская СОШ</t>
  </si>
  <si>
    <t>Ремонт помещения МАУДО «Дом детского творчества»</t>
  </si>
  <si>
    <t>Приобретение, монтаж и ремонт объектов внешнего  благоустройства на территории Северного округа г. Оренбурга</t>
  </si>
  <si>
    <t>МАОУ "СОШ №  2 п. Энергетик": ремонт внутреннего водостока, примыканий, устройство уклона над актовым залом; капитальный ремонт кровли перехода</t>
  </si>
  <si>
    <t xml:space="preserve">МБОУ  «СОШ п. Гранитный»: капитальный ремонт туалета на 2 этаже </t>
  </si>
  <si>
    <t xml:space="preserve">Приобретение коммунальной техники и навесного оборудования к коммунальной технике управлением жилищно-коммунального хозяйства администрации Сорочинского городского округа Оренбургской области </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</si>
  <si>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ремонт здания Администрации поселка Нижнесакмарский, г. Оренбург, ул. Молодежная, 9</t>
  </si>
  <si>
    <t>Проектные, экспертные, ремонтные и монтажные работы; приобретение основных средств, материалов Детский сад МБДОУ № 3 г. Оренбург ул. Володарского, 3</t>
  </si>
  <si>
    <t xml:space="preserve">Замена оконных блоков, монтажные работы, приобретение материалов МДОАУ «Детский сад № 133» г. Оренбург ул. Чкалова, 26а </t>
  </si>
  <si>
    <t>Проектные, экспертные, ремонтные и монтажные работы; приобретение материалов МОБУ «СОШ № 83» г.Оренбург с. Городище, ул. Октябрьская, 10</t>
  </si>
  <si>
    <t>Проектные, экспертные, ремонтные и монтажные работы, приобретение основных средств, мебели, материалов, оборудования, производственного и хозяйственного инвентаря, замена ограждения территории, обустройство школьного стадиона МОАУ «Лицей № 7» г. Оренбург пр. Промысловый, 11</t>
  </si>
  <si>
    <t xml:space="preserve">Обустройство искусственной дорожной неровности (ИДН), г. Оренбург по ул. Мира, 6 </t>
  </si>
  <si>
    <t xml:space="preserve">Устройство и ремонт входной группы здания Центральной библиотеки МБУК «Гайская ЦБС» </t>
  </si>
  <si>
    <t>Приобретение и установка газового отопительного котла в Ишкининском клубе досуга МБУК «ЦКС»</t>
  </si>
  <si>
    <t>Приобретение и установка детской игровой площадки, расположенной по адресу: Оренбургский район, с. Ивановка, ул. Кольцевая</t>
  </si>
  <si>
    <t>тыс. рублей</t>
  </si>
  <si>
    <t>Наименование                                                            городов и районов, избирательных округов</t>
  </si>
  <si>
    <t>Численность населения                  (тыс. чел.)</t>
  </si>
  <si>
    <t>Исполнение,                                                                       (тыс. руб.)</t>
  </si>
  <si>
    <t>Расходы на культуру</t>
  </si>
  <si>
    <t>Расходы на образование (д/сады, школы, доп. образование)</t>
  </si>
  <si>
    <t>Расходы на спорт</t>
  </si>
  <si>
    <t>Расходы на другие мероприятия</t>
  </si>
  <si>
    <t>Всего</t>
  </si>
  <si>
    <t>кол-во меропр</t>
  </si>
  <si>
    <t>сумма</t>
  </si>
  <si>
    <t>и/округ № 9</t>
  </si>
  <si>
    <t>и/округ № 10</t>
  </si>
  <si>
    <t>и/округ № 11</t>
  </si>
  <si>
    <t>и/округ № 12</t>
  </si>
  <si>
    <t>и/округ № 13</t>
  </si>
  <si>
    <t>и/округ № 14</t>
  </si>
  <si>
    <t>Орск</t>
  </si>
  <si>
    <t>и/округ № 20</t>
  </si>
  <si>
    <t>и/округ № 21</t>
  </si>
  <si>
    <t>и/округ № 22</t>
  </si>
  <si>
    <t xml:space="preserve"> Сорочинский гор. округ (округ № 5)</t>
  </si>
  <si>
    <t>Акбулакский район (округ № 16)</t>
  </si>
  <si>
    <t>Александровский район (округ № 6)</t>
  </si>
  <si>
    <t>Асекеевский район (округ № 4)</t>
  </si>
  <si>
    <t>Беляевский район (округ № 16)</t>
  </si>
  <si>
    <t>Бугурусланский район (округ № 1)</t>
  </si>
  <si>
    <t>Бузулукский район (округ № 3)</t>
  </si>
  <si>
    <t>Грачевский район (округ № 3)</t>
  </si>
  <si>
    <t>Домбаровский район (округ № 22)</t>
  </si>
  <si>
    <t>Илекский район (округ № 7)</t>
  </si>
  <si>
    <t>Кваркенский район (округ № 23)</t>
  </si>
  <si>
    <t>Красногвардейский район (округ № 6)</t>
  </si>
  <si>
    <t>Курманаевский район (округ № 3)</t>
  </si>
  <si>
    <t>Матвеевский район (округ № 4)</t>
  </si>
  <si>
    <t>Новоорский район (округ № 19)</t>
  </si>
  <si>
    <t>Новосергиевский район (округ № 7)</t>
  </si>
  <si>
    <t>Октябрьский район (округ № 6)</t>
  </si>
  <si>
    <t>Оренбургский район (округа № 10, 13, 15)</t>
  </si>
  <si>
    <t>Первомайский район (округ № 3)</t>
  </si>
  <si>
    <t>Переволоцкий район (округ № 15)</t>
  </si>
  <si>
    <t>Пономаревский район (округ № 4)</t>
  </si>
  <si>
    <t>Сакмарский район (округ № 8)</t>
  </si>
  <si>
    <t>Саракташский район (округ № 8)</t>
  </si>
  <si>
    <t>Светлинский район (округ № 23)</t>
  </si>
  <si>
    <t>Северный район (округ № 1)</t>
  </si>
  <si>
    <t>Ташлинский район (округ № 7)</t>
  </si>
  <si>
    <t>Тоцкий район (округ № 5)</t>
  </si>
  <si>
    <t>Тюльганский район (округ № 8)</t>
  </si>
  <si>
    <t>Шарлыкский район (округ № 6)</t>
  </si>
  <si>
    <t>итого по МО</t>
  </si>
  <si>
    <t>% исполнения</t>
  </si>
  <si>
    <t>Планирование социально значимых мероприятий в 2018 году по сферам</t>
  </si>
  <si>
    <t xml:space="preserve">Капитальный ремонт (отделка фасада, ремонт крыши, замена окон и дверей) зданий по ул. К. Маркса 11, 17а Муниципального дошкольного образовательного бюджетного  учреждения «Детский сад № 2 «Родничок» п. Новосергиевка» Новосергиевского района Оренбургской области </t>
  </si>
  <si>
    <t>Приобретение оконных блоков для МБДОУ «Детский сад №3 «Сказка» комбинированного вида»</t>
  </si>
  <si>
    <t>Проведение ремонтных работ кровли в МОАУ «ВСОШ №18»</t>
  </si>
  <si>
    <t>Проведение мероприятий, направленных на социализацию и воспитание нравственных ценностей обучающихся образовательных организаций.</t>
  </si>
  <si>
    <t>Ремонтные и проектные работы в  МБОУ Новосултангуловская СОШ</t>
  </si>
  <si>
    <t>Проведение культурно-массовых мероприятий на территории Бугурусланского района для жителей района (по отдельному плану)</t>
  </si>
  <si>
    <t>Организация и проведение мероприятий в области молодежной политики в рамках патриотического воспитания (по отдельному плану)</t>
  </si>
  <si>
    <t>Текущий ремонт помещения Первого Зубочистенского СДК - филиала МБУК «МЦКС Переволоцкого района»</t>
  </si>
  <si>
    <t>Приобретение оконных блоков из ПВХ в МБОУ "Краснокоммунарская СОШ", п. Красный Коммунар</t>
  </si>
  <si>
    <t xml:space="preserve">Приобретение оконных блоков из ПВХ в МБОУ "Белоусовская СОШ", с. Белоусовка </t>
  </si>
  <si>
    <t>Приобретение оконных блоков из ПВХ в МБОУ "Беловская СОШ", с. Беловка</t>
  </si>
  <si>
    <t>Нераспределенный остаток</t>
  </si>
  <si>
    <t>Проведение ремонта школьных автобусов (приобретение автошин, запчастей, оплата работ)</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</si>
  <si>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146», г. Оренбург ул. Брестская, 30/1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</si>
  <si>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160», г. Оренбург ул. Промышленная, 10/1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</si>
  <si>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МОБУ «СОШ №18», г. Оренбург, ул. Промышленная, 3</t>
  </si>
  <si>
    <t>Проектные, экспертные, ремонтные, монтажные работы, приобретение основных средств, оборудования,   производственного и хозяйственного инвентаря при обустройстве сцены в парке им.  Цвиллинга МАУ СШ №9 «Сармат», ул. Культурная, 1а.</t>
  </si>
  <si>
    <t>Проектные, экспертные, ремонтные и монтажные работы; приобретение материалов для ремонта ограждения в МБУ «БИС» г. Оренбурга ЦГДБ им. А.П. Гайдара (ул. Кобозева, 46)</t>
  </si>
  <si>
    <t>Благоустройство междворовой территории, приобретение МАФ по ул. Липовая, 17 г. Оренбург</t>
  </si>
  <si>
    <t>Ремонт системы отопления в здании интерната при МБОУ «Приуральская СОШ Кувандыкского городского округа»</t>
  </si>
  <si>
    <t>Приобретение материалов и ремонт системы отопления в МБДОУ «Новоуральский детский сад «Колосок» Кувандыкского городского округа»</t>
  </si>
  <si>
    <t>Проведение капитального ремонта перекрытия 1 этажа в здании МОАУ «Средняя общеобразовательная школа  № 3 поселка Новорудный муниципального образования город Новотроицк Оренбургской области», расположенного по адресу: 462375, Оренбургская область, г.Новотроицк. п.Новорудный, ул.Советская, 96-А</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</si>
  <si>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устройство теневых навесов МБДОУ «Детский сад № 49» г. Оренбург ул. Калининградская, 17</t>
  </si>
  <si>
    <t>Благоустройство придомовой территории (МАФ) г. Оренбург пр. Гагарина, 24А</t>
  </si>
  <si>
    <t>Установка недостающих светильников по ул. 60 Лет Октября, 26, 28Б; пр. Светлый, 9, 11; пр. Майский, 9; пр. Гагарина, 43, 43/1</t>
  </si>
  <si>
    <t xml:space="preserve">Благоустройство придомовой территории, г. Оренбург  ул. Салмышская, 47 </t>
  </si>
  <si>
    <t>Проектные, экспертные, ремонтные и монтажные работы; приобретение основных средств, мебели, материалов, оборудования, производственного и хозяйственного инвентаря, благоустройство пришкольной территории, обрезка деревьев, установка недостающих светильников  МОАУ «СОШ № 52» г. Оренбург  пр. Знаменский, 4</t>
  </si>
  <si>
    <t>Проектные, экспертные, ремонтные и монтажные работы, приобретение основных средств, мебели, материалов, оборудования, производственного и хозяйственного инвентаря, ремонт кровли ЦГБ им. Н.А. Некрасова МБУ «Библиотечная информационная система» г. Оренбурга (ул. Мира, 2/2)</t>
  </si>
  <si>
    <t>Благоустройство дворовой территории, пр. Светлый, 11 г. Оренбург</t>
  </si>
  <si>
    <t>МДОУ «Детский сад» с.Караганка
-капитальный ремонт эвакуационной лестницы</t>
  </si>
  <si>
    <t>Установка оконных блоков в МБДОУ «Детский сад № 4 «Ласточка» Кувандыкского городского округа»</t>
  </si>
  <si>
    <t>Проектные, экспертные, ремонтные и  монтажные работы, приобретение основных средств,  материалов, оборудования, производственного и хозяйственного инвентаря МОАУ «Гимназия № 6» г. Оренбург ул. Просторная, 14/2</t>
  </si>
  <si>
    <t>Организация обустройства парка им. А.С.Пушкина, в том числе приобретение аттракциона, спортивно-развлекательного оборудования, установка видеонаблюдения: г.Бузулук, пересечение ул.Серго и ул.О.Яроша (за исключением расходов, относящихся к бюджетным инвестициям)</t>
  </si>
  <si>
    <t xml:space="preserve">Ремонт кирпичной кладки угла наружной несущей стены и частичный ремонт кровли здания Велоклуба, приобретение строительных материалов в МБУ «СШ № 2» </t>
  </si>
  <si>
    <t>Благоустройство городского парка, расположенного по адресу: г.Новотроицк, ул. Советская, д.31 (в том числе: проведение проверки достоверности определения сметной стоимости работ)</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</si>
  <si>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материалов и оборудования для охранной сигнализации МБДОУ № 123, г. Оренбург ул. Волгоградская, 36/4</t>
  </si>
  <si>
    <t>Благоустройство территории, опиловка деревьев, 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150», г. Оренбург ул. Братская, 3/1</t>
  </si>
  <si>
    <t>Проектные, экспертные, ремонтные, монтажные работы, устройство теневого навеса, благоустройство территории, приобретение основных средств, оборудования, материалов производственного и хозяйственного инвентаря МБДОУ «Детский сад № 24» г. Оренбург ул. Обороны, 19а</t>
  </si>
  <si>
    <t>Проектные, экспертные, ремонтные и  монтажные работы, приобретение основных средств, мебели, материалов, оборудования, производственного и хозяйственного инвентаря, обустройство спортивной площадки МДОАУ «Детский сад № 153» г. Оренбург пр. Гагарина, 25/7</t>
  </si>
  <si>
    <t>МАОУ СОШ №2 п.Новоорск
-замена оконных блоков из ПВХ профиля</t>
  </si>
  <si>
    <t>Приобретение строительных материалов для ремонта ограждения по периметру территории в МБОУ «Сакмарская СОШ», с. Сакмара</t>
  </si>
  <si>
    <t>Капитальный ремонт  помещений санузлов для учеников и персонала  МБОУ«Егорьевская СОШ», с. Искра</t>
  </si>
  <si>
    <t>Капитальный ремонт помещений  дошкольной группы кратковременного пребывания  в МБОУ «Тимашевская ООШ», с. Тимашево</t>
  </si>
  <si>
    <t>Приобретение строительных материалов для ремонта здания кинотеатра «Восток», являющегося филиалом МБУК «РДК «Металлург», находящееся по адресу: Оренбургская область, Светлинский район, п. Светлый, ул. Строителей, д. 1</t>
  </si>
  <si>
    <t>Замена окон и ремонт системы теплоснабжения в МБУК "Межпоселенческая Централизованная Библиотечная Система" Северного района Оренбургской области с. Северное</t>
  </si>
  <si>
    <t>Приобретение автобуса ГАЗ 32212</t>
  </si>
  <si>
    <t>Установка водосточных труб, проектные, монтажные, экспертные, ремонтные работы и приобретение основных средств и материалов МОБУ ООШ № 3 г. Оренбург ул. Советская, 7</t>
  </si>
  <si>
    <t>Ремонтные работы в кабинетах, проектные, экспертные, ремонтные и монтажные работы; приобретение основных средств и материалов МОБУ СОШ № 24 г. Оренбург ул. Чичерина, 1</t>
  </si>
  <si>
    <t>Ремонт сельского клуба с. Алексеевка Администрации Алексеевского сельсовета Асекеевского района</t>
  </si>
  <si>
    <t>Текущий ремонт помещений второго этажа МОБУ "Искровская СОШ" по адресу: Оренбургская область, Бузулукский район, п.Искра ул.Школьная, д.5</t>
  </si>
  <si>
    <t>Капитальный ремонт сельского дома культуры с.Липовка, Бузулукского района, Оренбургской области</t>
  </si>
  <si>
    <t>Обустройство пешеходной дорожки к муниципальному автономному дошкольному образовательному учреждению МО «город Бугуруслан» «Детский сад № 20», расположенного по адресу: г. Бугуруслан, ул. Коммунистическая, д.28, в рамках благоустройства территории</t>
  </si>
  <si>
    <t>Приобретение мебели для МБОУ «Средняя общеобразовательная школа № 2 г. Медногорска», расположенного по адресу: г. Медногорск, ул. Молодежная, д. 5</t>
  </si>
  <si>
    <t>Приобретение мягкого инвентаря для МБУДО «Центр дополнительного образования детей г. Медногорска» расположенного по адресу: г. Медногорск, ул. Советская, д. 14</t>
  </si>
  <si>
    <t>Приобретение ограждения для благоустройства дворовой территории дома № 31 по ул. Советская г. Медногорск, Оренбургской области</t>
  </si>
  <si>
    <t xml:space="preserve">Выполнение работ по размещению элементов благоустройства территории согласно постановлению администрации г. Орска от 28.04.2018 г. № 1853-п и разрешению на размещение объектов от 28.04.2018 г. № 87, выданному  МДОАУ "ЦРР - Д/С № 120 г Орска "Крепыш" </t>
  </si>
  <si>
    <t>Монтаж автоматической установки пожарной сигнализации, системы оповещения людей о пожаре и системы оповещения «Антитеррор» в МОАУ "ООШ № 41 г. Орска"</t>
  </si>
  <si>
    <t>Ремонт помещения для музея в здании сельского клуба по адресу: Оренбургская область, Красногвардейский район, д. Верхнеильясово, ул. Салавата Юлаева д. 29</t>
  </si>
  <si>
    <r>
      <t>Обустройство детской игровой площадки  по адресу:  г. Медногорск Оренбургской области, в районе ул. Моторная,</t>
    </r>
    <r>
      <rPr>
        <b/>
        <sz val="13"/>
        <rFont val="Times New Roman"/>
        <family val="1"/>
      </rPr>
      <t xml:space="preserve"> </t>
    </r>
    <r>
      <rPr>
        <sz val="13"/>
        <rFont val="Times New Roman"/>
        <family val="1"/>
      </rPr>
      <t xml:space="preserve">1 </t>
    </r>
  </si>
  <si>
    <r>
      <t>Благоустройство междворовой территории  по ул. Липовая, 9, 5/</t>
    </r>
    <r>
      <rPr>
        <sz val="13"/>
        <color indexed="8"/>
        <rFont val="Times New Roman"/>
        <family val="1"/>
      </rPr>
      <t>2 г. Оренбург</t>
    </r>
  </si>
  <si>
    <r>
      <t>Замена оконных блоков с отделкой откосов в  МАОУ Кульминская СОШ,</t>
    </r>
    <r>
      <rPr>
        <sz val="13"/>
        <color indexed="8"/>
        <rFont val="Times New Roman"/>
        <family val="1"/>
      </rPr>
      <t xml:space="preserve"> по адресу, п. Коминтерн, ул</t>
    </r>
    <r>
      <rPr>
        <sz val="13"/>
        <rFont val="Times New Roman"/>
        <family val="1"/>
      </rPr>
      <t xml:space="preserve">. Школьная, 1. </t>
    </r>
  </si>
  <si>
    <r>
      <rPr>
        <sz val="13"/>
        <color indexed="8"/>
        <rFont val="Times New Roman"/>
        <family val="1"/>
      </rPr>
      <t>Капитальный ремонт кровли в МБДОУ «Краснокоммунарский детский сад «Стрела», п. Красный Коммунар</t>
    </r>
  </si>
  <si>
    <t>Сумма на выполнение мероприятия (по перечню)</t>
  </si>
  <si>
    <t>Сумма на выполнение мероприятия (по соглашению с минфином)</t>
  </si>
  <si>
    <t>Разница между перечнем и соглашением</t>
  </si>
  <si>
    <t>%</t>
  </si>
  <si>
    <t>Сумма, на которую заключен муниципальный контракт, договор и т.п.</t>
  </si>
  <si>
    <t>Разница между закл. контарктом и соглашением (гр. 7-гр. 4)</t>
  </si>
  <si>
    <t>Сумма заявки, направленной в минфин области</t>
  </si>
  <si>
    <t>Произведено расходов на 24.09.2018</t>
  </si>
  <si>
    <t>Примечание</t>
  </si>
  <si>
    <r>
      <t xml:space="preserve"> контракт заключен и оплачен на общую сумму 729,2 тыс. руб., из них </t>
    </r>
    <r>
      <rPr>
        <b/>
        <sz val="10"/>
        <rFont val="Times New Roman"/>
        <family val="1"/>
      </rPr>
      <t>29,2 тыс. руб. из местного бюджета</t>
    </r>
  </si>
  <si>
    <r>
      <rPr>
        <b/>
        <sz val="10"/>
        <rFont val="Times New Roman"/>
        <family val="1"/>
      </rPr>
      <t xml:space="preserve">28,2 </t>
    </r>
    <r>
      <rPr>
        <sz val="10"/>
        <rFont val="Times New Roman"/>
        <family val="1"/>
      </rPr>
      <t>тыс. рублей - за счет</t>
    </r>
    <r>
      <rPr>
        <b/>
        <sz val="10"/>
        <rFont val="Times New Roman"/>
        <family val="1"/>
      </rPr>
      <t xml:space="preserve"> местного</t>
    </r>
    <r>
      <rPr>
        <sz val="10"/>
        <rFont val="Times New Roman"/>
        <family val="1"/>
      </rPr>
      <t xml:space="preserve"> бюджета</t>
    </r>
  </si>
  <si>
    <t>Ремонт Притокского сельского Дома культуры Муниципального автономного учреждения Александровского района Оренбургской области «Культурно-досуговый центр» по адресу: Александровский район, пос. Романовский, ул. Центральная, 23</t>
  </si>
  <si>
    <r>
      <rPr>
        <b/>
        <sz val="10"/>
        <rFont val="Times New Roman"/>
        <family val="1"/>
      </rPr>
      <t xml:space="preserve">96,7 тыс. рублей </t>
    </r>
    <r>
      <rPr>
        <sz val="10"/>
        <rFont val="Times New Roman"/>
        <family val="1"/>
      </rPr>
      <t>- из местного бюджета</t>
    </r>
  </si>
  <si>
    <t>Проектные, экспертные, ремонтные и монтажные работы; приобретение материалов МБДОУ «Детский сад № 152» по ул. Чкалова, 25/1</t>
  </si>
  <si>
    <t>Проектные, экспертные, ремонтные и монтажные работы; приобретение материалов  МДОАУ «Детский сад № 145» г. Оренбург  ул. Туркестанская, 25/2</t>
  </si>
  <si>
    <r>
      <t>Денежные средства в размере</t>
    </r>
    <r>
      <rPr>
        <b/>
        <sz val="10"/>
        <rFont val="Times New Roman"/>
        <family val="1"/>
      </rPr>
      <t xml:space="preserve"> 323,4 тыс.руб</t>
    </r>
    <r>
      <rPr>
        <sz val="10"/>
        <rFont val="Times New Roman"/>
        <family val="1"/>
      </rPr>
      <t>. будут израсходованы в 4 кв. 2018 года на приобретение навесного оборудования к коммунальной технике (2 муниципальных контракта на сумму 312,8 тыс.руб. и на 10,6 тыс.руб. будут заключены в октябре)</t>
    </r>
  </si>
  <si>
    <t xml:space="preserve"> Для оплаты разницы по контракту будут изыскиваться средства из местного бюджета</t>
  </si>
  <si>
    <t>Проектные, экспертные, ремонтные, монтажные работы, устройство теневого навеса, благоустройство территории, опиловка деревьев, приобретение основных средств, оборудования, материалов, производственного и хозяйственного инвентаря МБДОУ № 47, г. Оренбург ул. Тепличная, 19</t>
  </si>
  <si>
    <t>работы по договору выполнены, подготавливается заявка в Министерство финансов Оренбургской области на выделение денежных средств для софинансирования реализации мероприятия</t>
  </si>
  <si>
    <t>ПСД прошла государственную экспертизу, получено положительное заключение, договор с подрядчиком в стадии подписания</t>
  </si>
  <si>
    <t>сметы на выполнение дальнейших работ по благоустройству городского парка в настоящее время находятся на государственной экспертизе. Средства будут использованы в полном объеме</t>
  </si>
  <si>
    <r>
      <rPr>
        <b/>
        <sz val="10"/>
        <rFont val="Times New Roman"/>
        <family val="1"/>
      </rPr>
      <t xml:space="preserve">9,8 </t>
    </r>
    <r>
      <rPr>
        <sz val="10"/>
        <rFont val="Times New Roman"/>
        <family val="1"/>
      </rPr>
      <t>тыс. рублей оплачены из местного бюджета</t>
    </r>
  </si>
  <si>
    <r>
      <rPr>
        <b/>
        <sz val="10"/>
        <rFont val="Times New Roman"/>
        <family val="1"/>
      </rPr>
      <t xml:space="preserve">106,04 </t>
    </r>
    <r>
      <rPr>
        <sz val="10"/>
        <rFont val="Times New Roman"/>
        <family val="1"/>
      </rPr>
      <t>тыс. рублей - за счет муниципального бюджета</t>
    </r>
  </si>
  <si>
    <t>Контракты заключены под ассигнования</t>
  </si>
  <si>
    <t>Устройство теневого навеса, замена оконных блоков, благоустройство территории, 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МБДОУ «Детский сад № 8», г. Оренбург  ул. Брестская, 7/1</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</si>
  <si>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«СОШ № 68», г. Оренбург ул. Ноябрьская, 45</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</si>
  <si>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благоустройство территории МБДОУ «Детский сад для детей раннего возраста № 176», г. Оренбург пр. Бр. Коростелевых, 26</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</si>
  <si>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МОАУ «Средняя общеобразовательная школа № 32» г. Оренбург ул. Восточная, 82а</t>
  </si>
  <si>
    <t>Проектные, экспертные, ремонтные, монтажные работы, противоаварийные мероприятия и благоустройство территории спортивной площадки (стадион), приобретение основных средств и материалов МОАУ СОШ № 35 г. Оренбург ул. Беляевская, 57/1</t>
  </si>
  <si>
    <t>Приобретение основных средств, оборудования и материалов для МОБУ СОШ № 46 г. Оренбург ул. Курача, 24</t>
  </si>
  <si>
    <t>Приобретение  основных средств, оборудования и материалов для МБУДО «ДТДиМ» Центр традиционной народной культуры с. Городище, г. Оренбург</t>
  </si>
  <si>
    <t xml:space="preserve">Ремонт эвакуационных выходов, проектные, экспертные, ремонтные и монтажные работы; приобретение материалов МБДОУ «Детский сад № 126» г. Оренбург ул. Чкалова, 49 </t>
  </si>
  <si>
    <t>Приобретение оборудования и инвентаря,  проведение спортивных мероприятий в МАУДО "ДЮСШОР"</t>
  </si>
  <si>
    <t>Приобретение оборудования и инвентаря МАУ ДО "ДЮСШ-1"</t>
  </si>
  <si>
    <t xml:space="preserve"> Приобретение оборудования, инвентаря, строительных материалов, проведение ремонтных работ, приобретение и установка теневых навесов  в МДОАУ "Детский сад № 221 "Сказка" г. Орска"</t>
  </si>
  <si>
    <t>Разница между соглашением с минфином и поданной заявкой (гр.4-гр. 9)</t>
  </si>
  <si>
    <t>Проектные, экспертные, ремонтные и монтажные работы, приобретение основных средств, мебели, материалов, оборудования, производственного и хозяйственного инвентаря, ремонт стены пищеблока МОАУ «СОШ № 64» г. Оренбург пр. Майский, 8</t>
  </si>
  <si>
    <t>Капитальный ремонт здания МАДОУ "Детский сад "Сказка" п.Первомайский Первомайского района Оренбургской области</t>
  </si>
  <si>
    <r>
      <rPr>
        <b/>
        <sz val="12"/>
        <rFont val="Times New Roman"/>
        <family val="1"/>
      </rPr>
      <t>77 тыс. рублей</t>
    </r>
    <r>
      <rPr>
        <sz val="12"/>
        <rFont val="Times New Roman"/>
        <family val="1"/>
      </rPr>
      <t xml:space="preserve"> - за счет местного бюджета</t>
    </r>
  </si>
  <si>
    <t>Перечень МО, в которых контракты заключены с превышением сумм соглашений с минфином</t>
  </si>
  <si>
    <t xml:space="preserve">Сумма на выполнение мероприятия </t>
  </si>
  <si>
    <t xml:space="preserve">Произведено расходов </t>
  </si>
  <si>
    <t>Остаток</t>
  </si>
  <si>
    <t>Cводный отчет об исполнении социально значимых мероприятий за 2018 год</t>
  </si>
  <si>
    <t>Пояснения</t>
  </si>
  <si>
    <t>Приобретен ГАЗ -322121 для МБОУ «Артемьевская СОШ»</t>
  </si>
  <si>
    <t>Приобретено 32 оконных блока</t>
  </si>
  <si>
    <t>Приобретен бассейн BestWay 956х488х132см, фильтр насос песчаный 7571, оборудование для бассейна</t>
  </si>
  <si>
    <t>Приобретение основных средств, материалов, мягкого инвентаря для укрепления материально-технической базы МБДОУ «Центр дополнительного образования детей г. Медногорск», расположенного по адресу: г. Медногорск, ул. Советская, д.14</t>
  </si>
  <si>
    <t>Проектные, экспертные, ремонтные, монтажные работы, приобретение основных средств, оборудования, материалов, производственного и хозяйственного инвентаря в МОАУ «СОШ № 38» г. Оренбург ул. Совхозная, 31</t>
  </si>
  <si>
    <t>Приобретение оборудования и инвентаря, организация и проведение шахматного турнира МАУ ДО "ДЮСШ-1"</t>
  </si>
  <si>
    <t>Приобретение и установка системы видеонаблюдения в  МАДОУ  «Приморский детский сад» по адресу с. Приморск ул. Центральная 16</t>
  </si>
  <si>
    <t>Приобретение и установка системы видеонаблюдения в  МАДОУ «Ново-Айдырлинский детский сад» по адресу п. Айдырлинский ул. Геологов 1</t>
  </si>
  <si>
    <t xml:space="preserve">Приобретение и монтаж спортивных,  уличных тренажеров с навесом по  ул. Луначарского, с. Октябрьское </t>
  </si>
  <si>
    <t>Приобретение оконных блоков из ПВХ в МБДОУ «Краснокоммунарский детский сад «Стрела», п. Красный Коммунар</t>
  </si>
  <si>
    <t xml:space="preserve">Капитальный ремонт внутренней части помещения  здания библиотеки села Репьевка </t>
  </si>
  <si>
    <t>Приобретение материалов для текущего ремонта здания  и приобретение кресел для зрительного зала муниципального бюджетного учреждения муниципального образования «город Бугуруслан» «Дом культуры имени Г. Тукая»</t>
  </si>
  <si>
    <t>Приобретение оборудования и инвентаря,  приобретение и установка беседок, установка ограждения по периметру земельного участка  МДОАУ "Детский сад № 38 г. Орска"</t>
  </si>
  <si>
    <t>Проведение городского турнира по вольной борьбе МАУДО «ДЮСШ «Лидер» г.Орска</t>
  </si>
  <si>
    <t>Приобретение строительных материалов, проведение ремонтных работ в  МДОАУ "Детский сад № 63 г. Орска"</t>
  </si>
  <si>
    <t>Приобретение мебели в  муниципальное дошкольное образовательное автономное учреждение детский сад «Золотой ключик», г.Ясный, ул.Парковая 14а</t>
  </si>
  <si>
    <t>Приобретение оборудования в  муниципальное дошкольное образовательное автономное учреждение детский сад «Тополек», г.Ясный, ул.Юбилейная 10а</t>
  </si>
  <si>
    <t>Приобретение и монтаж оборудования для установки системы видеонаблюдения в МБОУ «Акбулакская СОШ № 1»</t>
  </si>
  <si>
    <t>Установка системы видеонаблюдения в здании МБОУ «Баймаковская ООШ», с. Баймаково Бугурусланского района</t>
  </si>
  <si>
    <t>Поставка материалов для устройства ограждения территории здания МБОУ «Нуштайкинская ООШ», с. Нуштайкино Бугурусланского района</t>
  </si>
  <si>
    <t>Приобретение  и установка системы видеонаблюдения  в МАДОУ «Кваркенский детский сад №1 «Колосок», по адресу, с. Кваркено, пер. Октябрьский д. 1.</t>
  </si>
  <si>
    <t>Ремонт кабинета № 9 МОБУ «Новосергиевская СОШ № 1» Новосергиевского района Оренбургской области п. Новосергиевский, ул. Маяковского, д.2</t>
  </si>
  <si>
    <t xml:space="preserve">Приобретение мебели, оборудования и материальных запасов для открытия ясельных групп МБДОУ Детский сад «Жемчужинка» п. Пригородный, расположенный по адресу: Оренбургская область, Оренбургский район, п. Пригородный, ул.Мира, д.14 </t>
  </si>
  <si>
    <t>Замена оконных конструкций здания МБОУ "Бродецкая СОШ" Оренбургского района (1 этап)</t>
  </si>
  <si>
    <t>Приобретение и установка скамеек на детской игровой площадке, расположенной по адресу: Оренбургский район, с.Ивановка, ул. Кольцевая</t>
  </si>
  <si>
    <t>Ремонт здания МАДОУ детский сад «Ак каен» с. Наурузово</t>
  </si>
  <si>
    <t>Приобретение металлодетектора арочного в МБОУ Гимназия № 1</t>
  </si>
  <si>
    <t>Осуществлена поставка аттракциона «Экстремальный мир», веревочного парка, металлического   ограждения;  установка системы видеонаблюдения</t>
  </si>
  <si>
    <t>Поставка парашютных систем осуществлена в октябре</t>
  </si>
  <si>
    <t>По результатам проведенных торгов цена контракта снижена</t>
  </si>
  <si>
    <t>Работы выполнены в полном объеме</t>
  </si>
  <si>
    <t xml:space="preserve">Работы приняты 12.11.2018г. по обустройству детской игровой площадки </t>
  </si>
  <si>
    <t xml:space="preserve">Работы приняты 12.11.2018г. по обустройству детской игровой площадки  </t>
  </si>
  <si>
    <t>Приобретено 30 комплектов ученической мебели (1 парта и 2 стула), 7 комплектов мебели для столовой (1 стол и 2 скамьи) 31.10.2018г.</t>
  </si>
  <si>
    <t xml:space="preserve">Работы приняты 15.08.2018 г по ремонту кровли МБОУ «Блявтамакская средняя общеобразовательная школа города Медногорска» </t>
  </si>
  <si>
    <t>Приобретение портативной системы (колонки) и микрофонного держателя 24.07.2018г</t>
  </si>
  <si>
    <t>09.11.2018 г приобретено ограждение для благоустройства дворовой территории дома №31 по ул. Советская г. Медногорск, Оренбургской области</t>
  </si>
  <si>
    <t>Приобретен автобус ГАЗ 32212 для МАУ ДО "Шарлыкский центр внешкольной работы"</t>
  </si>
  <si>
    <t>Ремонт потолков, демонтаж и монтаж окон и дверей, штукатурка внутренних поверхностей стен, ремонт полов и настил линолеума</t>
  </si>
  <si>
    <t>Оплата расходов связанных с празднованием 270 – летия города Бугуруслана (9800 –изготовление приглашений, цветы; 28200 – организация выставок и подворий; 97300 - театрализованное представление на площади; 112500 - постановочные расходы; 3200 - развлекательная программа для детей, 19000 - накладные расходы.)</t>
  </si>
  <si>
    <t>Выплачены денежные призы 43 работникам  культуры в 4-х номинациях и 12-и подноминациях  от 3000 до 7000 рублей  на общую сумму 193000 руб., на 7000 руб. были приобретены расходные материалы, сувениры для проведения конкурса.</t>
  </si>
  <si>
    <t>оплачено создание оригинала – макета и изготовление книги с рабочим названием «270 лет Бугуруслану. 270 фактов из жизни города».</t>
  </si>
  <si>
    <t>Оплачено создание оригинала – макета и изготовление полиграфической продук-ции книги с рабочим названием «Культур-ное наследие Бугуруслана: история и со-временность», тираж 1000 экз.</t>
  </si>
  <si>
    <t>Приобретены борцовские покрышки на об-щую сумму 95304 руб.  и  маты для бор-цовского ковра на сумму 24696 руб.</t>
  </si>
  <si>
    <t>60 728 руб. – материалы, 139 272 руб. – работы (согласно смете)</t>
  </si>
  <si>
    <t>4 окна на сумму 119332 руб., монтажные работы – 31525 руб.</t>
  </si>
  <si>
    <t>Приобретены игрушки по 5-ти наименованиям</t>
  </si>
  <si>
    <t>11 комплектов русского женского костюма</t>
  </si>
  <si>
    <t>Костюмы сценические 9 комплектов</t>
  </si>
  <si>
    <t xml:space="preserve">Оконные блоки-7 штук;
4 радиатора (водяной чугунный 7 секций)
</t>
  </si>
  <si>
    <t xml:space="preserve">Произведен капитальный ремонт здания в части монтажа электрооборудования и вентиляции, ремонт отмостки.
Приобретена мебель - кроватки, шкафы, столы детские, стульчики и др. </t>
  </si>
  <si>
    <t>Выполнены работы по ремонту фасада здания</t>
  </si>
  <si>
    <t>Выполнены работы по частичному ремонту фасада здания</t>
  </si>
  <si>
    <t>Выполнены работы по ремонту кровли здания МБДОУ «Детский сад «Аленка»</t>
  </si>
  <si>
    <t xml:space="preserve">Запланированные работы выполнены </t>
  </si>
  <si>
    <t xml:space="preserve">Выполнены работы по капитальному ремонт внутренней части помещения  здания библиотеки, остаток средств сложился в связи с экономией по торгам  </t>
  </si>
  <si>
    <t>Выполнены работы по разработке проектной и сметной документации и капитальному ремонту детского сада «Улыбка»</t>
  </si>
  <si>
    <t>Запланированные работы выполнены в полном объеме</t>
  </si>
  <si>
    <t xml:space="preserve">Приобретены для раздевалки 1 шкаф,  2 скамейки </t>
  </si>
  <si>
    <t>33 участника
миним.размер-1,0 тыс. рублей
максим. размер -25,0 тыс.рублей</t>
  </si>
  <si>
    <t>47 участников
миним.размер-2,0 тыс. рублей
максим. размер -6,0 тыс.рублей</t>
  </si>
  <si>
    <t>Заменено 10 оконных блоков</t>
  </si>
  <si>
    <t>Приобретено 25 комплектов</t>
  </si>
  <si>
    <t>Приобретено 45 комплектов</t>
  </si>
  <si>
    <t>Приобретение спортивного инвентаря в МБОУ «Северная средняя общеобразовательная школа» Северного района Оренбургской области</t>
  </si>
  <si>
    <t>Приобретен бензотример</t>
  </si>
  <si>
    <t xml:space="preserve">Приобретены швейная машинка, коверлок, отпариватель для одежд и штор
</t>
  </si>
  <si>
    <t>Выполнен ремонт площадки</t>
  </si>
  <si>
    <t>Приобретены шахматы, спортивные мячи</t>
  </si>
  <si>
    <t>Закуплено и смонтировано спортивное оборудование и инвентарь: щиты и кольца баскетбольные, комплекты сеток для футбольных ворот, тренажер (перекладина) навесной, универсальное табло, стенка шведская, ворота для футбола, канат для лазания, мячи волейбольные, футбольные и баскетбольные.</t>
  </si>
  <si>
    <t>Проведены работы по устройству твердого покрытия на пешеходных дорожках – 1 632,0 тыс. руб.; устройство 2-ой очереди системы автоматического полива: Зона «Фруктовый сад» и «Театр под открытым небом» - 3 240,5 тыс. руб.; проведение проверки достоверности определения сметной стоимости по объекту: благоустройство парка – 11,8 тыс. руб.</t>
  </si>
  <si>
    <t>Проведен капитальный ремонт перекрытия 1 этажа в здании МОАУ «Средняя общеобразовательная школа  № 3 поселка Новорудный муниципального образования город Новотроицк Оренбургской области»</t>
  </si>
  <si>
    <t>Запланированные работы выполнены в полном объеме, в т.ч. 14237 руб.  - приобретение материалов, 770763 руб. – капитальный ремонт кровли (работы согласно смете).</t>
  </si>
  <si>
    <t>Запланированные работы выполнены в полном объеме, в т.ч. 244939 - материалы, 155061 – работы согласно смете</t>
  </si>
  <si>
    <t>Запланированные работы выполнены, в т.ч. приобретены материалы (арматура, песок, ПГС, цемент, кирпич, блоки, доски, профнастил, гранулят, отвердитель)</t>
  </si>
  <si>
    <t>Мероприятие выполнено, в т.ч. приобретено 120 кресел - стульев на общую сумму 96000 руб.; материалы – 105100 рублей</t>
  </si>
  <si>
    <t>Выполнены работы по капремонту оконных конструкций</t>
  </si>
  <si>
    <t>Запланированное мероприятие выполнено в соответствии с заключенным контрактом</t>
  </si>
  <si>
    <t>Приобретена мебель ( столы учительские, демонстрационные, парта лабораторная, столешница для технологии, шкафы для документов, парты ученическая-190шт., стулья ученические-331 шт)</t>
  </si>
  <si>
    <t>Приобретена мебель (стол детский 4 шт.,стульчик -30шт.)</t>
  </si>
  <si>
    <t xml:space="preserve">Выполнены работы по ремонту кровли </t>
  </si>
  <si>
    <t>Приобретены 2 стиральные машины</t>
  </si>
  <si>
    <t xml:space="preserve">Выполнен ремонт лестницы, фойе, 2-х кабинетов и 2-х туалетов </t>
  </si>
  <si>
    <t xml:space="preserve">Выполнен капитальный ремонт крыльца, тамбура, 3-х кабинетов, коридора; наружная облицовка стен металлосайдингом. Оборудованы 2 туалета. </t>
  </si>
  <si>
    <t>Отремонтированы 2-ой этаж здания школы,  класс мастерских, лестничная клетка</t>
  </si>
  <si>
    <t>4 навеса</t>
  </si>
  <si>
    <t>3 навеса</t>
  </si>
  <si>
    <t>2 навеса</t>
  </si>
  <si>
    <t xml:space="preserve">Приобретены комплекты формы для 8-ми видов спорта </t>
  </si>
  <si>
    <t>29 единиц костюмов, платьев, рубашек</t>
  </si>
  <si>
    <t>Приобретен автобус марки: ПАЗ 32063-70</t>
  </si>
  <si>
    <t xml:space="preserve">Выполнены следующие работы: демонтаж и монтаж бетонных полов, настила из линолеума; демонтаж и монтаж дверных проемов и дверных блоков; устройство естественной вентиляции. </t>
  </si>
  <si>
    <t>Работы выполнены в соотвествии с контрактом</t>
  </si>
  <si>
    <t>Работы выполнены в соотвествии с договором подряда</t>
  </si>
  <si>
    <t>Приобретено: экскаватор-погрузчик (3 619,0 тыс. рублей), навесное оборудование для трактора (312,8 тыс. рублей), грузоподъемное устройство (11,0 тыс. рублей), плуг трехкорпусный навесной (80,0 тыс. рублей), виброплита (83,9 тыс. рублей)</t>
  </si>
  <si>
    <t xml:space="preserve">Мероприятие исполнено в полном объеме, приобретено 96 ранцев </t>
  </si>
  <si>
    <t>Произведен ремонт здания, в т.ч. освещение зала, наружные работы, ремонт кровли и балкона спортзала, замена окон.</t>
  </si>
  <si>
    <t>Произведен ремонт здания, в т.ч. ремонт кровли, сантехнические работы</t>
  </si>
  <si>
    <t>Приобретено спортоборудование, спортинвентарь</t>
  </si>
  <si>
    <t>Ремонт крыши (демонтаж кровли, монтаж кровельного покрытия из проф.листа) и приобретение стройматериалов (брус, стропила, профлист)</t>
  </si>
  <si>
    <t>Проведен ремонт кровли здания интерната</t>
  </si>
  <si>
    <t>Разработана проектно-сметная документация</t>
  </si>
  <si>
    <t>Проведен ремонт отопления 2 этажа здания интерната</t>
  </si>
  <si>
    <t>Проведен ремонт системы отопления в правом крыле здания детского сада.</t>
  </si>
  <si>
    <t>Установлены 2 окна в помещении пищеблока</t>
  </si>
  <si>
    <t>Работы выполнены в соотвествии с контрактом, экономия сложилась по результатам конкурсных процедур.</t>
  </si>
  <si>
    <t xml:space="preserve">Выполнены работы по частичному ремонту помещений </t>
  </si>
  <si>
    <t xml:space="preserve">Мероприятие выполнено. Акт о приемке выполненных работ (КС-2) № 1 от 19.07.2018.  </t>
  </si>
  <si>
    <t>Проведен ремонт в спортивном зале МБОУ "Троицкая СОШ"</t>
  </si>
  <si>
    <t xml:space="preserve">Проведены ремонтные и проектные работы в МБОУ "Новосултангуловская СОШ" </t>
  </si>
  <si>
    <t>Приобретен спортивный инвентарь</t>
  </si>
  <si>
    <t>Ремонт входной группы (крыльца) здания проведен</t>
  </si>
  <si>
    <t>Аппаратура (фотоаппарат, видеокамера) и костюмы приобретены</t>
  </si>
  <si>
    <t>Проведен ремонт сельского клуба с.Алексеевка</t>
  </si>
  <si>
    <t>Проведены ремонтные и проектные работы в спортивном зале МБОУ Воздвиженская СОШ</t>
  </si>
  <si>
    <t>Проведены ремонты учебного класса, медицинского кабинета</t>
  </si>
  <si>
    <t>Выполнен капитальный ремонт кровли, восстановлены поврежденные участки лицевого слоя каменной кладки. Устранены все источники замачивания стен, заменены аварийные перемычки, выполнена анкеровка карнизных плит к стенам</t>
  </si>
  <si>
    <t xml:space="preserve">Произведен демонтаж и монтаж лестниц пожарных с ограждением, демонтаж и монтаж дверных коробок, пробивка проемов в конструкции, установка блоков из ПВХ </t>
  </si>
  <si>
    <t>Выполнен ремонт пола, замена окон, штукатурка и окраска стен, установка дверей устройство душевых.</t>
  </si>
  <si>
    <t>Приобретена система видеонаблюдения, произведен монтаж оборудования для установки системы видеонаблюдения.</t>
  </si>
  <si>
    <t>Проведен праздник «Золотое литературное кольцо С.Т. Аксакова»</t>
  </si>
  <si>
    <t xml:space="preserve">
Мероприятие выполнено в полном объеме. 
</t>
  </si>
  <si>
    <t>Были приобретены комплекты постельного белья – 20 шт.</t>
  </si>
  <si>
    <t>Проведение патриотической акции по перезахоронению остатков военнослужащего рабочей крестьянской армии Смехнова А.Я.
Участие в поисковой экспедиции военно-поискового отряда «Бугурусланский»</t>
  </si>
  <si>
    <t>Приобретены многофункциональный микрофон и микрофонная стойка</t>
  </si>
  <si>
    <t>Приобретены: канат, конусы, маты, мячи, обручи, стол теннисный, шахматы и др.</t>
  </si>
  <si>
    <t>Награждены 30 человек, размер премии составил от 2,5 до 3 т.р, приобретены цветы и оформление зала</t>
  </si>
  <si>
    <t>Награждены 28 человек, размер премии составил от 3,0 до 7,0 т.р.</t>
  </si>
  <si>
    <t>Приобретено 8 костюмов</t>
  </si>
  <si>
    <t>Приобретены мячи, маты, скакалки, обручи, крепления для лыж</t>
  </si>
  <si>
    <t>Мероприятие выполнено в полном объеме</t>
  </si>
  <si>
    <t>Приобретены: штакетник, брусок, столбики металлические; мероприятие выполнено</t>
  </si>
  <si>
    <t>Приобретен автобус для перевозки детей на базе УАЗ на 10 мест для МАОУ "Костинская СОШ"</t>
  </si>
  <si>
    <t>Приобретены шины, запчасти, произведен ремонт двигателя для 4 автобусов (МБОУ "Волжская СОШ", МАОУ "Андреевская СОШ", МАОУ "Ефимовская СОШ", МАОУ "Лабазинская СОШ")</t>
  </si>
  <si>
    <t>Разборка и кладка кирпичных стен, штукатурка внутри здания, окраска; замена труб отопления и водоснабжения.</t>
  </si>
  <si>
    <t>Демонтаж и монтаж санузлов, замена водопровода, ремонт полов, установка оконных блоков.</t>
  </si>
  <si>
    <t>Работы выполнены и оплачены</t>
  </si>
  <si>
    <t xml:space="preserve">Приобретены и установлены уличные тренажеры в количестве 9 шт. на рамной конструкции, под теневым навесом. </t>
  </si>
  <si>
    <t>Общая сумма контракта на выполнение работ составляет 2240,84 тыс. руб., за счет средств областного бюджета предусмотрено 1500,0 тыс. руб. Выполнены проектные, экспертные работы, произведена поставка, монтаж, установка сцены из металлоконструкций.</t>
  </si>
  <si>
    <t>Произведен капитальный ремонт кровли здания</t>
  </si>
  <si>
    <t xml:space="preserve">Приобретение  инвентаря для игровой и спальной комнаты  (игровой инвентарь, мягкие конструкторы, постельные принадлежности). </t>
  </si>
  <si>
    <t xml:space="preserve">Выполнены работы по замене трех окон.
</t>
  </si>
  <si>
    <t>Выполнены работы по ремонту крыши  (демонтаж старого покрытия и замена новым).</t>
  </si>
  <si>
    <t>Выполнены работы по установке душевых кабин, укладке кафельной плитки, покраске стен и потолков</t>
  </si>
  <si>
    <t xml:space="preserve">Выполнены работы по ремонту раздевалок и коридора спортзала (смена напольного покрытия, покраска стен, потолков). </t>
  </si>
  <si>
    <t>Выполнены работы по установке 1 навеса</t>
  </si>
  <si>
    <t xml:space="preserve">Выполнены работы по частичной  замене сетки-рабицы. </t>
  </si>
  <si>
    <t>Выполнены работы по ремонту входной группы.</t>
  </si>
  <si>
    <t>Выполнены работы по ремонту спортивного зала (замена окон, покраска стен,  полов).</t>
  </si>
  <si>
    <t xml:space="preserve">Выполнены работы по замене окон  в спортивном зале </t>
  </si>
  <si>
    <t>Ремонт пола  (замена линолеума на напольную  керамическую плитку).</t>
  </si>
  <si>
    <t xml:space="preserve">Замена окон, ремонт помещения (окраска полов и стен, ремонт потолка, ремонт кирпичной перегородки), ремонт дверей и крыльца </t>
  </si>
  <si>
    <t>Выполнены работы по ремонту пола, отопления, стен. откосов</t>
  </si>
  <si>
    <t>Выполнены работы по замене окон в столовой</t>
  </si>
  <si>
    <t xml:space="preserve">Замена окон в игровом  зале и  детской раздевалке. </t>
  </si>
  <si>
    <t xml:space="preserve">Установлен 1 навес. Приобретены средства гигиены, уборочный инвентарь. 
</t>
  </si>
  <si>
    <t>Выполнены работы по частичному ремонту кровли (устранение повреждений)</t>
  </si>
  <si>
    <t>Ремонт группы (стены приведены в соответствие с требованиями санитарных норм, замена линолеума, шпаклевка и покраска потолка)</t>
  </si>
  <si>
    <t>Мероприятие выполнено</t>
  </si>
  <si>
    <t>Выполнены работы по установке оконных блоков</t>
  </si>
  <si>
    <t>Выполнены работы по капитальному ремонту спортзала</t>
  </si>
  <si>
    <t>Работы выполнены и оплачены в полном объеме в соответствии с заключенными договорами</t>
  </si>
  <si>
    <t>Для ремонта в кинозале приобретены перфорированный гипсокартон, потолочная панель и ковролин, часть материалов использована при ремонте вестибюля</t>
  </si>
  <si>
    <t xml:space="preserve">Произведен ремонт  крыши здания, оконных и дверных проёмов </t>
  </si>
  <si>
    <t xml:space="preserve">В Гимназию № 1 приобретены металлодетекторы арочные </t>
  </si>
  <si>
    <t xml:space="preserve">Заасфальтировано 497 м2 прилегающей  к  зданию  территории </t>
  </si>
  <si>
    <t>Отремонтировано 1200 м2 площади кровли на здании детского сада</t>
  </si>
  <si>
    <t xml:space="preserve">Приобретены строительные материалы для ограждения по периметру территории школы 
</t>
  </si>
  <si>
    <t>Отремонтировано 3 санузла</t>
  </si>
  <si>
    <t xml:space="preserve">Отремонтированы помещения общей площадью 50 м2 (помещение для приема детей, санузел, групповая)  для разме-щения  дошкольной группы кратковремен
ного пребывания </t>
  </si>
  <si>
    <t>Приобретено и установлено 9 окон  из ПВХ</t>
  </si>
  <si>
    <t>Приобретено и установлено 6 окон  из ПВХ</t>
  </si>
  <si>
    <t>Приобретено и установлено 3 окна  из ПВХ</t>
  </si>
  <si>
    <t>Приобретено и установлено 5 окон  из ПВХ</t>
  </si>
  <si>
    <t>Приобретены ТМЦ: светильники светодиодные 52 шт.</t>
  </si>
  <si>
    <t>Проведен ремонт входной группы: установлены двери из ПВХ профиля, оборудован тамбур</t>
  </si>
  <si>
    <t>Проведена замена кровельного покрытия на площади 200 м2.</t>
  </si>
  <si>
    <t>Приобретен мягкий инвентарь: наволочки, простыни, пододеяльники</t>
  </si>
  <si>
    <t>Проведено обустройство ограждения по периметру 100 метров</t>
  </si>
  <si>
    <t>Обустроены теневые навесы 2х40 м2</t>
  </si>
  <si>
    <t>Проведен ремонт помещения: обустройство подвесного потолка «Армстронг» в учебном классе и музее площадью 130 м2</t>
  </si>
  <si>
    <t>Проведен ремонт здания: замена водопровода, канализации в туалетных комнатах групповых помещений, обустроены запасные выходы со второго этажа</t>
  </si>
  <si>
    <t>Ремонт  кровли здания</t>
  </si>
  <si>
    <t>приобретение беседки детской игровой зоны; гидравлические испытания системы отопления; установка автоматической противопожарной системы</t>
  </si>
  <si>
    <t>Приобретена видео и аудио аппаратура</t>
  </si>
  <si>
    <t xml:space="preserve">Замена окон </t>
  </si>
  <si>
    <t>Приобретение строительных материалов; приобретение мебели: тумба, шкаф для бытовой химии, шкаф для белья</t>
  </si>
  <si>
    <t>- приобретение беседок деревянных</t>
  </si>
  <si>
    <t>-ремонт вентиляционных каналов</t>
  </si>
  <si>
    <t>-ремонт мягкой кровли</t>
  </si>
  <si>
    <t>- работы по ремонту кровли</t>
  </si>
  <si>
    <t>- приобретение беседок металлических
- приобретение металлического навеса-козырька для здания                                       - приобретение стиральной машины</t>
  </si>
  <si>
    <t>- приобретение кроватей детских двухъярусных, кроватей детских ЛДСП
- приобретение шкафов для одежды детских</t>
  </si>
  <si>
    <t>-ремонтные работы</t>
  </si>
  <si>
    <t>-ремонтные работы (ремонт крыльца)</t>
  </si>
  <si>
    <t>Приобретен инвентарь: столовая посуда, постельное белье, одеяла, матрацы</t>
  </si>
  <si>
    <t>Выполнены работы по благоустройству территории</t>
  </si>
  <si>
    <t>Приобретено: теневые навесы, строительные материалы (плитка облицовочная, напольная). Выполнен ремонт вентиляции</t>
  </si>
  <si>
    <t>Приобретены камеры видеонаблюдения и комплектующие к ним</t>
  </si>
  <si>
    <t>Проведены ремонтные работы системы оповещения и управления эвакуацией людей при пожаре</t>
  </si>
  <si>
    <t>Установлена автоматическая противопожарная сигнализация и система оповещения людей о пожаре</t>
  </si>
  <si>
    <t>Выполнены работы по монтажу кабеля, замене оконных блоков</t>
  </si>
  <si>
    <t>Выполнены ремонтные общестроительные работы (полы)</t>
  </si>
  <si>
    <t>Приобретены стулья, табуреты</t>
  </si>
  <si>
    <t>Выполнен монтаж автоматической установки пожарной сигнализации и системы оповещения людей о пожаре и системы оповещения «Антитеррор»</t>
  </si>
  <si>
    <t xml:space="preserve">-установка противопожарных перегородок в коридорах
-установка голосового оповещения
-установка автоматической противопожарной системы (подвальное помещение)
- приобретение строительных материалов
</t>
  </si>
  <si>
    <t>-установка пластиковых перегородок в лестничных клетках здания школы с дверью с уплотнением в притворах и доводчиком на уровне первого и второго этажа
-приобретение строительных материалов</t>
  </si>
  <si>
    <t>-замена автоматической противопожарной системы
-ремонт мягкой кровли</t>
  </si>
  <si>
    <t>Приобретены беседки</t>
  </si>
  <si>
    <t>Выполнены работы по ремонту трубопровода внутренней канализации, приобретены строительные материалы</t>
  </si>
  <si>
    <t>Приобретение ограждения, теневого навеса, машины протирочной, столов разделочных, холодильника, утюга, ванны моечной</t>
  </si>
  <si>
    <t>Приобретение беседки, строительных материалов</t>
  </si>
  <si>
    <t>Установка оборудования автоматической системы речевого оповещения, приобретение видеокамеры, монтажного оборудования для видеокамеры, мольбертов</t>
  </si>
  <si>
    <t>Приобретение строительных материалов, видеокамеры, видеорегистратора и  оборудования для их установки</t>
  </si>
  <si>
    <t>Приобретение кухонного оборудования, стеллажа, полки, монтаж речевого оповещения «антитеррор»</t>
  </si>
  <si>
    <t>Проведение ремонтных работ по замене водосборных воронок, монтаж речевого оповещения, приобретение видеокамеры и монтажного оборудования для установки видеокамеры</t>
  </si>
  <si>
    <t>Ремонт отмостки и крыльца здания</t>
  </si>
  <si>
    <t>Приобретение видеокамеры, видеорегистратора и  оборудования для их установки</t>
  </si>
  <si>
    <t>Установка системы экстренного голосового оповещения</t>
  </si>
  <si>
    <t>Приобретение домофона и оборудования для его установки, видеокамер и оборудования для ее установки, смесителей для кухни, мебель для ванной</t>
  </si>
  <si>
    <t>Благоустройство территории</t>
  </si>
  <si>
    <t>Ремонт перекрытий спортивного зала</t>
  </si>
  <si>
    <t>Приобретение спортивного инвентаря: комплектов лыж и палок, лыжных ботинок</t>
  </si>
  <si>
    <t>Проведение работ по демонтажу и монтажу датчиков АПС и СОУЭ</t>
  </si>
  <si>
    <t>Приобретение домофона и комплектующих для его установки</t>
  </si>
  <si>
    <t>Проведение ремонта кровли, пола, системы отопления, замена окон, приобретение оборудования и комплектующих для системы видеонаблюдения</t>
  </si>
  <si>
    <t>Приобретение аудиоаппаратуры, детских стульчиков, свистульки</t>
  </si>
  <si>
    <t>Приобретение аудиоаппаратуры, детских стульчиков.</t>
  </si>
  <si>
    <t>Приобретение аудиоаппаратуры, детских стульчиков, колокольчика.</t>
  </si>
  <si>
    <t>Приобретение муз. инструментов, ноутбука, аудиоаппаратуры.</t>
  </si>
  <si>
    <t>Приобретение музыкальных инструментов, аудиоаппаратуры, ключа для монтажа цифрового фортепиано.</t>
  </si>
  <si>
    <t>Приобретение музыкальных инструментов, аудиоаппаратуры и видеоаппаратуры</t>
  </si>
  <si>
    <t>Приобретение музыкальных инструментов, беседки, аудиоаппаратуры и видеоаппаратуры. Установка ограждения по периметру.</t>
  </si>
  <si>
    <t xml:space="preserve">Приобретение музыкальных инструментов, аудиоаппаратуры, ключа для монтажа. </t>
  </si>
  <si>
    <t>Приобретение аудиоаппаратуры, видеоаппаратуры.</t>
  </si>
  <si>
    <t>Приобретение музыкальных инструментов, ноутбука, аудиоаппаратуры.</t>
  </si>
  <si>
    <t>Приобретение аудиоаппаратуры и детских стульчиков.</t>
  </si>
  <si>
    <t>Приобретение аудиоаппаратуры, видеоаппаратуры</t>
  </si>
  <si>
    <t>Приобретение музыкальных инструментов, аудиоаппаратуры, комплектов постельного белья.</t>
  </si>
  <si>
    <t>Приобретение аудиоаппаратуры, детских стульчиков и монтажного ключа.</t>
  </si>
  <si>
    <t>Приобретение аудио и видеоаппаратуры</t>
  </si>
  <si>
    <t>Приобретение аудиоаппаратуры.</t>
  </si>
  <si>
    <t>Приобретение музыкального оборудования.</t>
  </si>
  <si>
    <t>Приобретение радиосистемы, ноутбука, аудиоаппаратуры</t>
  </si>
  <si>
    <t>Приобретение ноутбука, музыкального оборудования.</t>
  </si>
  <si>
    <t xml:space="preserve">Приобретение спутниковых аксессуаров, ноутбука, принтера, телевизора и водонагревателей. </t>
  </si>
  <si>
    <t>Приобретение проектора, системы звукоусиления, кондиционера, ведер.</t>
  </si>
  <si>
    <t>Приобретение свистков. Ремонт кровли.</t>
  </si>
  <si>
    <t>Капитальный ремонт кровли.</t>
  </si>
  <si>
    <t>Приобретение аккордеона.</t>
  </si>
  <si>
    <t>Приобретен шахматный инвентарь, проведен шахматный турнир</t>
  </si>
  <si>
    <t>Приобретение спортивного инвентаря.</t>
  </si>
  <si>
    <t>Выполнены работы по ремонту кровли</t>
  </si>
  <si>
    <t xml:space="preserve">Выполнены ремонтные работы систем и элементов пожарной защиты на сумму 83 576,16 руб, работы на сумму 99 081,00 по расчету оценки пожарного риска. Приобретены стройматериалы на сумму               117 342,84 (краска, грунтовка, линолиум,  светильники, лампы)  </t>
  </si>
  <si>
    <t xml:space="preserve">Выполнены работы на сумму 190 019,00 руб. по монтажу теневых навесов. Приобретено: на сумму 9 981,00 руб. краска, клей, пена. </t>
  </si>
  <si>
    <t xml:space="preserve">Выполнены работы на сумму 194 237,00 руб. по замене оконных блоков.  Приобретено: на сумму 262,69 руб. -саморез, дюбель; на сумму 5500,00 руб. - грунтовка, шпаклевка, краска. </t>
  </si>
  <si>
    <t>Выполнены работы по ремонту ИТП</t>
  </si>
  <si>
    <t>Приобретены шкафы, вешалки, холодильник, жалюзи, светильники и др.</t>
  </si>
  <si>
    <t xml:space="preserve">На сумму 297,5 тыс. руб. проведены ремонтные работы, на 2,5 тыс. рублей приобретены строительные расходные мат-лы </t>
  </si>
  <si>
    <t>Выполнены работы по ремонту лестничного марша, замене окон, монтажу горячего водоснабжения в начальных классах</t>
  </si>
  <si>
    <t xml:space="preserve"> В пищеблоке выполнены общестроительные работы,  электромонтажные работы, работы по  замене щитов на сумму 487,6 тыс. руб. На сумму 12,4 тыс. руб. приобретена сантехника. </t>
  </si>
  <si>
    <t xml:space="preserve">Выполнены работы по ремонту магистральных и групповых электросетей на сумму 1 076,5 тыс. руб., на устройство эввакуационного выхода с первого этажа потрачено 140,3 тыс. рублей. Приобретены строительные материалы на сумму 33,2 тыс. руб.                                                                                                          </t>
  </si>
  <si>
    <t>Выполнены работы по ремонту 2-х кабинетов информатики</t>
  </si>
  <si>
    <t xml:space="preserve">Выполнены работы по капитальному ремонту спортзала , усилению и ремонту строительных конструкций и восстановлению отмостки, замене оконных блоков, витражей из ПВХ профиля в спортзале.                                                                                                                                                            </t>
  </si>
  <si>
    <t xml:space="preserve">Приобретены стройматериалы (керамический гранит, линолеум, плитка)  Выполнен ремонт моечного отделения и помещения обработки овощей столовой.                                                                                                                      </t>
  </si>
  <si>
    <t>Заключен договор с ООО "Альфа 56" на ремонт хоккейного корта. Работы выполнены.</t>
  </si>
  <si>
    <t>Установлены МАФ</t>
  </si>
  <si>
    <t>Выполнены работы по асфальтированию тротуаров, дорожек</t>
  </si>
  <si>
    <t xml:space="preserve">Заключен договор с ООО "Зеленстрой" на обслуживание территории. </t>
  </si>
  <si>
    <t>Заключен договор с ООО УК "Оракул" на обслуживание территории. Прибретены МАФ на сумму 6 000,0 (урны-4 шт.).</t>
  </si>
  <si>
    <t xml:space="preserve">1) Закуплены флаги на сумму 158 000 р.                                      2) Приобретены 2 скамейки на сумму 49 900р.                                                                       3)  Приобретены  урны (64 шт. с монтажом) на сумму 128 000р. </t>
  </si>
  <si>
    <t xml:space="preserve">Выполнены ремонтные работы по устранению предписаний по пожарной безопасности, приобретены батарейки, приборы ППО, извещатели, стройматериалы (краска, смесители, профиль, гипсокартон). </t>
  </si>
  <si>
    <t xml:space="preserve">Выполнен ремонт асфальтобетонного покрытия территории. </t>
  </si>
  <si>
    <t xml:space="preserve">Выполнены работы по  устройству двух теневых навесов на сумму 240 тыс. рублей. Приобретены стрйматериалы на  сумму 10 тыс. рублей. </t>
  </si>
  <si>
    <t>Заменены оконные блоки, приобретена сантехника.</t>
  </si>
  <si>
    <t>Выполнены работы по ремонту кровли, наружного освещения.</t>
  </si>
  <si>
    <t>Заменены оконные блоки, приобретены стройматериалы.</t>
  </si>
  <si>
    <t>Выполнены работы по благоустройству</t>
  </si>
  <si>
    <t>Заменены оконные блоки</t>
  </si>
  <si>
    <t>Выполнены работы по ремонту кабинетов.</t>
  </si>
  <si>
    <t>Приобретение музыкальных инструментов.</t>
  </si>
  <si>
    <t>Выполнены работы по опиловке деревьев, приобретены сантехника, лампа, светильник.</t>
  </si>
  <si>
    <t>Выполнен ремонт санузла, межпанельных швов. Заменены оконные блоки.</t>
  </si>
  <si>
    <t>Выполнены ремонтные работы, замена оконных блоков, приобретены стройматериалы</t>
  </si>
  <si>
    <t xml:space="preserve">Покрашены ограждения, изготовлены и смонтированы световые перетяжки (2 шт.), приобретены урны, ель уличная, каркасная.                                                                                          </t>
  </si>
  <si>
    <t>Выполнен ремонт отопления, замена оконных блоков.</t>
  </si>
  <si>
    <t xml:space="preserve">Выполнен ремонт системы электроснабжения в пищеблоке, замена электрощитов в пищеблоке. </t>
  </si>
  <si>
    <t xml:space="preserve">Выполнен ремонт отопления спортзала и прилегающих помещений, ремонт кровли над спортзалом и столовой. Выполнены работы по  детально-инструментальному обследованию.                                                                                                </t>
  </si>
  <si>
    <t xml:space="preserve">Выполнены ремонтные работы и замена дверей лестничной клетки № 1 , № 2, ремонт спортзала, подсобных помещений и коридора перед спортзалом. </t>
  </si>
  <si>
    <t xml:space="preserve">Выполнен ремонт столовой (основание и стяжка пола зала, сантехнические, отделочные и электромонтажные работы) </t>
  </si>
  <si>
    <t>Выполнены работы по асфальтированию тротуаров, дорожек.</t>
  </si>
  <si>
    <t xml:space="preserve">Выполнены работы по обследованию и оценке технического состояния строительных конструкций, ремонту и усилению несущих и ограждающих строительных конструкций. Приобретена сантехника. </t>
  </si>
  <si>
    <t xml:space="preserve">Выполнен ремонт внутренних силовых сетей и системы электроснабжения здания (демонтажные работы, прокладка кабеля в коробах, монтаж светильников в подвесных потолках). </t>
  </si>
  <si>
    <t>Приобретена сантехника (смесители, унитазы), видеокамера, видеоодомофон, жесткий диск.</t>
  </si>
  <si>
    <t>Произведен ремонт гвс, хвс, замена оборудования в пищеблоке, устройство теневого навеса.</t>
  </si>
  <si>
    <t xml:space="preserve">Выполнено частичное устранение дефектов наружных стен здания </t>
  </si>
  <si>
    <t>Выполнен капитальный ремонт ИТП. Приобретены расходные стройматериалы</t>
  </si>
  <si>
    <t>Выполнен ремонт пищеблока. Приобретена сантехника.</t>
  </si>
  <si>
    <t>Выполнен ремонт путей эвакуации. Приобретены материалы.</t>
  </si>
  <si>
    <t>Выполнен монтаж и устройство сцены в парке.</t>
  </si>
  <si>
    <t>Приобретена спортивная форма для отделения паурлифтинга</t>
  </si>
  <si>
    <t>Заменены оконные, дверные блоки. Проведено детально-инструментальное обследование технического состояния стен здания. Приобретен линолеум,  эмаль.</t>
  </si>
  <si>
    <t>Выполнены работы по асфальтированию дорожек в парке, устройству уличного освещения. Приобретены МАФ. (2 урны, 2 скамьи, барьер парковочный - 12 шт. ).</t>
  </si>
  <si>
    <t xml:space="preserve"> Выполнен монтаж, демонтаж празничного оформления</t>
  </si>
  <si>
    <t xml:space="preserve">Выполнены работы по замене входной двери, оборудованию песочного дворика, скребка для обуви, стенки для рисования, спортивной серии для младшего возраста, машинки.                       </t>
  </si>
  <si>
    <t>Выполнен монтаж системы видеонаблюдения на сумму 93 685,15 руб.,  монтаж оконных блоков и подоконников на сумму  56 314,85.</t>
  </si>
  <si>
    <t xml:space="preserve">Выполнен ремонт туалетной комнаты на 2 этаже, приобретены эмаль, кисти, валики, пена. </t>
  </si>
  <si>
    <t xml:space="preserve">Выполнены проектные работы по капитальному ремонту внутренних силовых сетей и системы электроснабжения, внутреннего электроосвещения и электрооборудования, приобретен линолеум. </t>
  </si>
  <si>
    <t>Выполнено устройство теневого навеса, приобретены светильники</t>
  </si>
  <si>
    <t xml:space="preserve">Выполнено усиление наружных стен, приобретена сантехника (унитаз, пьедестал, рукомойник) </t>
  </si>
  <si>
    <t>Выполнены проектные работы по детально-инструментальному обследованию технического состояния строительных конструкций,  проект усиления строительных конструкций здания, приобретена сантехника (сифон, смеситель, подводка)</t>
  </si>
  <si>
    <t xml:space="preserve">Выполнен монтаж системы наружного видеонаблюдения, приобретены профлист, саморезы </t>
  </si>
  <si>
    <t xml:space="preserve">Замена окон на лестничных маршах </t>
  </si>
  <si>
    <t>Выполнен ремонт санузла, приобретена сантехника (смеситель, сифон, рукомойник, крепление)</t>
  </si>
  <si>
    <t>Выполнен ремонт козырьков над входами здания, приобретены стройматериалы и сантехника (смеситель, эмаль, профиль, линолеум)</t>
  </si>
  <si>
    <t>Выполнена замена пола в групповой ячейке,  ремонтные работы.</t>
  </si>
  <si>
    <t>Выполнен ремонт кровли здания над переходом, приобретена сантехника (смеситель, кран)</t>
  </si>
  <si>
    <t>Выполнена замена деревянных дверных блоков в помещениях и замена заполнения блока ПВХ, ремонт помещения.</t>
  </si>
  <si>
    <t>Выполнен ремонт стен в актовом зале,  ремонт сцены и монтаж потолка "Армстронг",  ремонт полов и установка дверей в актовом зале</t>
  </si>
  <si>
    <t>Выполнено устройство ограждения, приобретены стройматериалы</t>
  </si>
  <si>
    <t>Выполнен ремонт входной группы</t>
  </si>
  <si>
    <t>Выполнено устройство входного тамбура, приобретен линолеум, сантехника, строительные материалы.</t>
  </si>
  <si>
    <t xml:space="preserve">Заменены оконные блоки, выполнен ремонт рекреаций 2 этажа (системы электроснабжения, ремонт стен, пола, потолка, и замена дверей) приобретены стройматериалы ( эмаль, линолиум, краска, шпаклевка, цемент, пена монтаж.) </t>
  </si>
  <si>
    <t>Оплачено изготовление видеобаннера, ви-деоподдержки молодежного форума «Я-доброволец России» (4000 руб.); оплачена  поездка  молодежной группы в количестве 4 человек в Тверскую область для участия в поисковых работах в рамках Международной военно – исторической экспедиции «Ржев. Калининский фронт» (ЖД билеты, суточные, всего 32000 руб.); изготовлена экипировка для активистов и волонтеров молодежных объединений в рамках проведения мероприятий, посвященных году добровольца (15000 руб. , 15 футболок с символикой); оплачена концертно - развлекательная программа в рамках проведения городского мероприятия «День молодежи России» (творческий коллектив «Хорошее настроение», 40000 руб.); выплачены премии победителям городского конкурса «Золотая молодежь города Бугуруслана» (13 победителей, премии от 1500 до 3000 руб., всего на общую сумму 28000 руб.); проведение городского конкурса «Семья года» (денежные призы 5 семьям* 3000 рублей, оформление на 10000 руб., сувениры на 10000 руб., цветы на 5000 руб., итого 40000 руб.); 41000 руб. – подготовка выставки - экспозиции для участия молодежной делегации в работе молодежного форума «Евразия» (изготовление и поставка оборудования).</t>
  </si>
  <si>
    <t>Предоставлена субсидия (грант) на реа-лизацию проекта «ПРОГРАММА 
Бугурусланской городской общественной организации пенсионеров, инвалидов-ветеранов войн, труда, Вооруженных сил и правоохранительных органов «Активность, помощь и забота»</t>
  </si>
  <si>
    <t>30155 руб. – материалы, 119845 руб. - работы (в соответствии со сметой)</t>
  </si>
  <si>
    <t>Приобретение табуреток, комплектующих для системы видеонаблюдения (камера, жесткий диск, блок питания, аккумулятор) для укрепления материально-технической базы МБДОУ «Центр дополнительного образования детей г. Медногорск» 28.11.2018г.</t>
  </si>
  <si>
    <t>Приобретение мягкого инвентаря, (подушки в кол-ве 96 шт., костюм для повара 6 шт.)  для МБУДО «Центр дополнительного образования детей г. Медногорска» 28.11.2018 г.</t>
  </si>
  <si>
    <t>Приобретено: мобильный комплекс Воркаут 1 шт. и оборудование к нему на  сумму 159 510 руб.; 1 630 медалей, грамоты, дипломы на сумму 161 060 руб.;  шахматы и механические шахматные часы на сумму 49 792 руб.; спортивный инвентарь для летних спортивно - оздоровительных лагерей на сумму 180138 руб. (эспандеры, жгуты, палки, мячи, бинокли и т.д.)</t>
  </si>
  <si>
    <t>39483, 36 руб. - материалы , 219816,64 руб. – работы (согласно смете);
70700 руб. - приобретение и доставка газо-вого оборудования.</t>
  </si>
  <si>
    <t>Текущий ремонт фасада муниципального бюджетного общеобразовательного учреждения «Средняя общеобразовательная школа № 2» муниципального образования «город Бугуруслан» (корпус № 2)</t>
  </si>
  <si>
    <t xml:space="preserve">Проведены культурно-массовые мероприятия работниками учреждений культуры к Дню Победы </t>
  </si>
  <si>
    <t>Участие творчески одаренных детей в областных, зональных, всероссийских и международных олимпиадах, конкурсах, выставках, соревнованиях, научно-практических конференциях и других мероприятиях</t>
  </si>
  <si>
    <t>Выполнено поисковое исследование на грунтовые воды</t>
  </si>
  <si>
    <t>Проведены городские культурно массовые мероприятия:
- «День защитника Отечества»;
- «8 марта»;
- «День России»;
- «Городская ярмарка»</t>
  </si>
  <si>
    <t>Выполнены работ по размещению элементов благоустройства территории</t>
  </si>
  <si>
    <t>Проведены городские массовые спортивные мероприятия (традиционная легкоатлетическая эстафета на призы администрации города, «Лыжня России», спортивный праздник, посвященный дню физкультурника,  «Кросс Нации 2018»,  спартакиада ССУЗов «Юность», спартакиада среди клубов по месту жительства) – 295,4 тыс. руб. Проведены соревнования и турниры среди дворовых команд, организованы спортивные праздники по местожительству – 12,1 тыс. руб. Проведены физкультурно-массовые и спортивные мероприятий г. Орска по видам спорта (борьба вольная, борьба самбо, бокс, тхэквондо, футбол, хоккей) – 74,2 тыс. руб. На участие сборных команд, спортсменов участников соревнований в мероприятиях областного, всероссийского и международного уровня (по 20-ти видам спорта) выделено 718,3 тыс. руб.</t>
  </si>
  <si>
    <t>Работниками учреждений культуры проведены культурно массовые мероприятия:
- «Культурное наследие»;
- «День города»;
- Новогодние и рождественские мероприятия;
- «Библионочь»;
- «Ночь в музее»</t>
  </si>
  <si>
    <t xml:space="preserve">Выполнен демонтаж, ремонт кровли  над лестничной клеткой и холлом, актовым залом. </t>
  </si>
  <si>
    <t xml:space="preserve">Выполнено усиление перекрытий (демонтаж, эл.монтажные работы), строительных конструкций здания (2этаж)            </t>
  </si>
  <si>
    <t>Выполнен ремонт фасада здания</t>
  </si>
  <si>
    <t>Выполнен ремонт фасада здания. Приобретены стройматериалы</t>
  </si>
  <si>
    <t xml:space="preserve">Выполнен ремонт пищеблока - варочный цех, цех мясной продукции моечное помещение, отопление, электротехнические работы. </t>
  </si>
  <si>
    <t>Замена горючей отделки, ремонт потолка на путях эвакуации.</t>
  </si>
  <si>
    <t>Замена оконных блоков</t>
  </si>
  <si>
    <t>Вывеска и книги</t>
  </si>
  <si>
    <t xml:space="preserve">Выполнены работы по ремонту козырька. </t>
  </si>
  <si>
    <t>Приобретена мебель</t>
  </si>
  <si>
    <t>Приобретены 4 фигурные скамейки, 6 шаров из профтрубы. Установлены перед зданием администрации Южного округа.</t>
  </si>
  <si>
    <t>Произведена установка кондиционеров, ремонт системы вентиляции в спортивном зале.</t>
  </si>
  <si>
    <t>Выполнены работы по замене окон.</t>
  </si>
  <si>
    <t>Выполнены работы по устройству спортивной площадки, валке деревьев</t>
  </si>
  <si>
    <t>Выполнены работы по устройству спортивной площадки</t>
  </si>
  <si>
    <t>Приобретены шкафы и телевизор</t>
  </si>
  <si>
    <t>Выполнены работы по замене оконных блоков и ремонту фойе.</t>
  </si>
  <si>
    <t>Приобретена оргтехника (компьютер, принтер, настенный экран, колонки)</t>
  </si>
  <si>
    <t>Приобретен 31 светильник</t>
  </si>
  <si>
    <t>Приобретено 12 световых консолей</t>
  </si>
  <si>
    <t>Выполнен ремонт кабинетов физики, химии. Приобретены стройматериалы.</t>
  </si>
  <si>
    <t xml:space="preserve">Заменены оконные блоки, приобретены стройматериалы (трубы, доски, цемент, профлист, арматура, краска, эмаль) </t>
  </si>
  <si>
    <t>Выполнен ремонт кабинета</t>
  </si>
  <si>
    <t>Выполнена установка пластиковых окон, ремонт откосов, установка противопожарных дверей, ремонт туалетов. Приобретены строительные материалы (светильник, лампа, смеситель)</t>
  </si>
  <si>
    <t>Ремонт ограждения</t>
  </si>
  <si>
    <t>Замена ограждения, приобретение стрйматериалов.</t>
  </si>
  <si>
    <t>Выполнены работы по ремонту фойе.</t>
  </si>
  <si>
    <t>Выполнены работы по  устройству спортивной площадки, замене ограждения территории. Приобретены стройматериалы (линолиум, плинтус, профиль, арматура, доска, цемент)</t>
  </si>
  <si>
    <t>Выполнены электромонтажные работы, опиловка деревьев</t>
  </si>
  <si>
    <t>Установлены МАФ.</t>
  </si>
  <si>
    <t>Выполнены работы по установке светильников</t>
  </si>
  <si>
    <t xml:space="preserve">Выполнен ремонт наружной стены, кровли здания. Приобретена сантехника. </t>
  </si>
  <si>
    <t>Выполнены работы по ремонту кровли и ремонту потолков.</t>
  </si>
  <si>
    <t xml:space="preserve">Частичный ремонт отопления и замена части трассы отопления </t>
  </si>
  <si>
    <t>Частичный ремонт крыши</t>
  </si>
  <si>
    <t xml:space="preserve">Косметический ремонт абонемента и методического кабинета (Выравнивание,штукатурка и окраска стен,потолка,с приобретением материалов) </t>
  </si>
  <si>
    <t>Работы  и приобритение материалов для ремонта железных потолочных конструкций</t>
  </si>
  <si>
    <t>Частичный ремонт крыши, замена электропроводки, ремонт потолка и покраска стен в зрительном зале</t>
  </si>
  <si>
    <t>Разборка кирпича, кладка перегородок из кирпича, снятие дверных полотен, демонтаж дверных коробок, установка блоков в наружных и внутренних дверных проемах, устройство плинтусов, устройство покрытий из плит древесностружечных, устройство металлических ограждений</t>
  </si>
  <si>
    <t>Разборка покрытий кровель: из рулонных материалов, устройство выравнивающих стяжек цементно-песчанных,огрунтовка оснований из бетона или раствора  под водоизоляционный  кровельный ковер, устройство кровель плоских из наплавляемых материалов ,устройство примыканий кровель из наплавляемых материалов к стенам и парапетам, армирование подстилающих слоев и набетонок</t>
  </si>
  <si>
    <t>Демонтаж лестниц прямолинейных и криволинейных, пожарных с ограждением, кладка стен кирпичных наружных, прокладка воздуховодов из листовой оцинкованной стали и олюминия, установка зонтов над шахтами из листовой стали,установка стропил,устройство обрешетки из досок и брусков,огнебиозащитное покрытие деревянных конструкций,устройство кровли из металлочерепицы</t>
  </si>
  <si>
    <t>Ремонт кирпичной кладки стен отдельными местами, установка стропил мауэлата, устройство обрешетки с прозорами из досок и брусков под кровлю из листовой стали,устройство кровли из металлочерепицы по готовым прогонам, прокладки уплотнительные пенополиуретановые открытопористые для металлочерепицы, устройство фронтонов, устройство карнизов</t>
  </si>
  <si>
    <t>Снятие оконных переплетов: остекленных, демонтаж оконных коробокустановка оконных блоков из ПВХ профилей,устройство мелких покрытий из листовой оцинкованной стали,окраска откосов акриловыми составами,установка подоконных досок из ПВХ в каменных стенах, облицовка оконных и дверных откосов декоративным пластиком</t>
  </si>
  <si>
    <t>Снятие оконных переплетов, демонтаж оконных коробок,штукатурка поверхностей внутри здания,кладка отдельных участков из кирпича,установка оконных блоков из ПВХ, устройство мелких покрытий из листовой и оцинкованной стали, установка подоконных досок из ПВХ</t>
  </si>
  <si>
    <t>Ремонт отопительной системы</t>
  </si>
  <si>
    <t>Решетчатые конструкции (стойки, опоры,фермы), сборка с помощью лебедок, облицовка стен по готовому каркасу щитами-картинами</t>
  </si>
  <si>
    <t>Расходы на благоустройство</t>
  </si>
  <si>
    <t>Молодежн. политика</t>
  </si>
  <si>
    <t>Меропр. В честь Победы</t>
  </si>
  <si>
    <t>Проведен ремонт помещения  под гимнастический зал. Приобретены материалы: радиаторы и гипсокартон.</t>
  </si>
  <si>
    <t>Выполнен ремонт санузла и замена участков канализации. Приобретен линолеум.</t>
  </si>
  <si>
    <t>Выполнен ремонт музыкального зала, приобретен смеситель.</t>
  </si>
  <si>
    <t xml:space="preserve">Выполнены проектные работы по капитальному ремонту системы отопления здания, приобретены и установлены металлическая дверь, сборная конструкция (перегородки, дверные створки). Приобретена краска.                                                      </t>
  </si>
  <si>
    <t xml:space="preserve">Выполнены общестроительные работы, электромонтажные работы и работы по замене радиаторов отопления, ремонт трех тамбуров и кабинета.                                                                                                                                          </t>
  </si>
  <si>
    <t>Проведен городской турнир по вольной борьбе МАУДО «ДЮСШ «Лидер» г.Орска</t>
  </si>
  <si>
    <t>Организация и проведение городских конкурсов:
 - «Лучший из лучших» в рамках года добровольца (волонтера)
-  «Папа, мама, я - спортивная семья»
- «Вальс Победы»
- «Радуга Детства»</t>
  </si>
  <si>
    <t>Капитальный ремонт здания, находящегося   в муниципальной собственности  под  дошкольную группу на 35 детей в  МОБУ "Черкасская СОШ имени Григория Тимофеевича Чумакова " по адресу: Оренбургская область, Саракташский  район, с.Черкассы, ул. Советская,  15В, и приобретение материалов, мебели и мягкого инвентаря.</t>
  </si>
  <si>
    <t>УТВЕРЖДЕНО 
решением совета от 11.02.2019 № 57</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</si>
</sst>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000_р_._-;\-* #,##0.00000_р_._-;_-* &quot;-&quot;?????_р_._-;_-@_-"/>
    <numFmt numFmtId="165" formatCode="#,##0.00_р_."/>
    <numFmt numFmtId="166" formatCode="#,##0.0"/>
    <numFmt numFmtId="167" formatCode="0.0%"/>
    <numFmt numFmtId="168" formatCode="#,##0_ ;\-#,##0\ "/>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_ ;\-#,##0.0\ "/>
    <numFmt numFmtId="174" formatCode="0.0"/>
    <numFmt numFmtId="175" formatCode="#,##0.000000"/>
    <numFmt numFmtId="176" formatCode="#,##0.000"/>
    <numFmt numFmtId="177" formatCode="0.000"/>
    <numFmt numFmtId="178" formatCode="#,##0.00000"/>
    <numFmt numFmtId="179" formatCode="#,##0.0000"/>
    <numFmt numFmtId="180" formatCode="#,##0.0_р_."/>
    <numFmt numFmtId="181" formatCode="#,##0_р_."/>
  </numFmts>
  <fonts count="92">
    <font>
      <sz val="10"/>
      <name val="Arial Cyr"/>
      <family val="0"/>
    </font>
    <font>
      <b/>
      <sz val="16"/>
      <name val="Times New Roman"/>
      <family val="1"/>
    </font>
    <font>
      <sz val="10"/>
      <name val="Arial"/>
      <family val="2"/>
    </font>
    <font>
      <sz val="16"/>
      <name val="Arial Cyr"/>
      <family val="0"/>
    </font>
    <font>
      <sz val="10"/>
      <name val="Times New Roman"/>
      <family val="1"/>
    </font>
    <font>
      <sz val="8"/>
      <name val="Arial Cyr"/>
      <family val="0"/>
    </font>
    <font>
      <sz val="14"/>
      <name val="Times New Roman"/>
      <family val="1"/>
    </font>
    <font>
      <sz val="14"/>
      <name val="Arial Cyr"/>
      <family val="0"/>
    </font>
    <font>
      <b/>
      <sz val="14"/>
      <name val="Times New Roman"/>
      <family val="1"/>
    </font>
    <font>
      <b/>
      <sz val="10"/>
      <name val="Arial Cyr"/>
      <family val="0"/>
    </font>
    <font>
      <b/>
      <sz val="10"/>
      <name val="Times New Roman"/>
      <family val="1"/>
    </font>
    <font>
      <sz val="12"/>
      <name val="Times New Roman"/>
      <family val="1"/>
    </font>
    <font>
      <b/>
      <sz val="12"/>
      <name val="Times New Roman"/>
      <family val="1"/>
    </font>
    <font>
      <i/>
      <sz val="11"/>
      <name val="Times New Roman"/>
      <family val="1"/>
    </font>
    <font>
      <sz val="13.5"/>
      <name val="Times New Roman"/>
      <family val="1"/>
    </font>
    <font>
      <sz val="13"/>
      <name val="Times New Roman"/>
      <family val="1"/>
    </font>
    <font>
      <b/>
      <sz val="13"/>
      <name val="Times New Roman"/>
      <family val="1"/>
    </font>
    <font>
      <b/>
      <sz val="13"/>
      <name val="Arial Cyr"/>
      <family val="0"/>
    </font>
    <font>
      <sz val="13"/>
      <color indexed="8"/>
      <name val="Times New Roman"/>
      <family val="1"/>
    </font>
    <font>
      <sz val="12"/>
      <name val="Arial Cyr"/>
      <family val="0"/>
    </font>
    <font>
      <sz val="11"/>
      <name val="Times New Roman"/>
      <family val="1"/>
    </font>
    <font>
      <sz val="11"/>
      <name val="Arial Cyr"/>
      <family val="0"/>
    </font>
    <font>
      <sz val="13.5"/>
      <name val="Arial Cyr"/>
      <family val="0"/>
    </font>
    <font>
      <b/>
      <sz val="18"/>
      <name val="Times New Roman"/>
      <family val="1"/>
    </font>
    <font>
      <sz val="18"/>
      <name val="Arial Cyr"/>
      <family val="0"/>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0"/>
      <color indexed="13"/>
      <name val="Times New Roman"/>
      <family val="1"/>
    </font>
    <font>
      <sz val="10"/>
      <color indexed="40"/>
      <name val="Times New Roman"/>
      <family val="1"/>
    </font>
    <font>
      <b/>
      <sz val="14"/>
      <color indexed="10"/>
      <name val="Times New Roman"/>
      <family val="1"/>
    </font>
    <font>
      <b/>
      <sz val="16"/>
      <color indexed="60"/>
      <name val="Times New Roman"/>
      <family val="1"/>
    </font>
    <font>
      <sz val="16"/>
      <color indexed="60"/>
      <name val="Times New Roman"/>
      <family val="1"/>
    </font>
    <font>
      <sz val="12"/>
      <color indexed="8"/>
      <name val="Times New Roman"/>
      <family val="1"/>
    </font>
    <font>
      <sz val="12"/>
      <color indexed="60"/>
      <name val="Times New Roman"/>
      <family val="1"/>
    </font>
    <font>
      <b/>
      <sz val="12"/>
      <color indexed="60"/>
      <name val="Times New Roman"/>
      <family val="1"/>
    </font>
    <font>
      <i/>
      <sz val="11"/>
      <color indexed="60"/>
      <name val="Times New Roman"/>
      <family val="1"/>
    </font>
    <font>
      <sz val="10"/>
      <color indexed="60"/>
      <name val="Times New Roman"/>
      <family val="1"/>
    </font>
    <font>
      <b/>
      <sz val="12"/>
      <color indexed="4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0"/>
      <color rgb="FFFFFF00"/>
      <name val="Times New Roman"/>
      <family val="1"/>
    </font>
    <font>
      <sz val="10"/>
      <color rgb="FF00B0F0"/>
      <name val="Times New Roman"/>
      <family val="1"/>
    </font>
    <font>
      <b/>
      <sz val="14"/>
      <color rgb="FFFF0000"/>
      <name val="Times New Roman"/>
      <family val="1"/>
    </font>
    <font>
      <sz val="13"/>
      <color rgb="FF000000"/>
      <name val="Times New Roman"/>
      <family val="1"/>
    </font>
    <font>
      <sz val="13"/>
      <color theme="1"/>
      <name val="Times New Roman"/>
      <family val="1"/>
    </font>
    <font>
      <sz val="14"/>
      <color theme="1"/>
      <name val="Times New Roman"/>
      <family val="1"/>
    </font>
    <font>
      <b/>
      <sz val="16"/>
      <color rgb="FFC00000"/>
      <name val="Times New Roman"/>
      <family val="1"/>
    </font>
    <font>
      <sz val="16"/>
      <color rgb="FFC00000"/>
      <name val="Times New Roman"/>
      <family val="1"/>
    </font>
    <font>
      <sz val="12"/>
      <color rgb="FF000000"/>
      <name val="Times New Roman"/>
      <family val="1"/>
    </font>
    <font>
      <sz val="12"/>
      <color theme="1"/>
      <name val="Times New Roman"/>
      <family val="1"/>
    </font>
    <font>
      <sz val="12"/>
      <color rgb="FFC00000"/>
      <name val="Times New Roman"/>
      <family val="1"/>
    </font>
    <font>
      <b/>
      <sz val="12"/>
      <color rgb="FFC00000"/>
      <name val="Times New Roman"/>
      <family val="1"/>
    </font>
    <font>
      <i/>
      <sz val="11"/>
      <color rgb="FFC00000"/>
      <name val="Times New Roman"/>
      <family val="1"/>
    </font>
    <font>
      <sz val="10"/>
      <color rgb="FFC00000"/>
      <name val="Times New Roman"/>
      <family val="1"/>
    </font>
    <font>
      <b/>
      <sz val="12"/>
      <color theme="4" tint="-0.24997000396251678"/>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505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medium"/>
      <right style="thin"/>
      <top style="medium"/>
      <bottom style="thin"/>
    </border>
    <border>
      <left style="medium"/>
      <right style="thin"/>
      <top style="thin"/>
      <bottom>
        <color indexed="63"/>
      </bottom>
    </border>
    <border>
      <left>
        <color indexed="63"/>
      </left>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pplyBorder="0">
      <alignment/>
      <protection/>
    </xf>
    <xf numFmtId="0" fontId="70"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32" borderId="0" applyNumberFormat="0" applyBorder="0" applyAlignment="0" applyProtection="0"/>
  </cellStyleXfs>
  <cellXfs count="374">
    <xf numFmtId="0" fontId="0" fillId="0" borderId="0" xfId="0" applyAlignment="1">
      <alignment/>
    </xf>
    <xf numFmtId="164" fontId="4" fillId="0" borderId="0" xfId="53" applyNumberFormat="1" applyFont="1">
      <alignment/>
      <protection/>
    </xf>
    <xf numFmtId="0" fontId="4" fillId="0" borderId="0" xfId="53" applyFont="1">
      <alignment/>
      <protection/>
    </xf>
    <xf numFmtId="2" fontId="4" fillId="0" borderId="0" xfId="53" applyNumberFormat="1" applyFont="1" applyAlignment="1">
      <alignment horizontal="center" vertical="center"/>
      <protection/>
    </xf>
    <xf numFmtId="164" fontId="4" fillId="0" borderId="0" xfId="53" applyNumberFormat="1" applyFont="1" applyAlignment="1">
      <alignment horizontal="center" vertical="center" wrapText="1"/>
      <protection/>
    </xf>
    <xf numFmtId="0" fontId="4" fillId="0" borderId="0" xfId="53" applyFont="1" applyAlignment="1">
      <alignment horizontal="center" vertical="center"/>
      <protection/>
    </xf>
    <xf numFmtId="0" fontId="1" fillId="0" borderId="0" xfId="53" applyFont="1" applyAlignment="1">
      <alignment horizontal="center" vertical="center" wrapText="1"/>
      <protection/>
    </xf>
    <xf numFmtId="0" fontId="3" fillId="0" borderId="0" xfId="0" applyFont="1" applyAlignment="1">
      <alignment vertical="center"/>
    </xf>
    <xf numFmtId="2" fontId="4" fillId="0" borderId="10" xfId="53" applyNumberFormat="1" applyFont="1" applyBorder="1" applyAlignment="1">
      <alignment horizontal="center" vertical="center"/>
      <protection/>
    </xf>
    <xf numFmtId="166" fontId="6" fillId="0" borderId="10" xfId="53" applyNumberFormat="1" applyFont="1" applyBorder="1" applyAlignment="1">
      <alignment horizontal="center" vertical="center"/>
      <protection/>
    </xf>
    <xf numFmtId="2" fontId="6" fillId="0" borderId="10" xfId="53" applyNumberFormat="1" applyFont="1" applyBorder="1" applyAlignment="1">
      <alignment horizontal="center" vertical="center"/>
      <protection/>
    </xf>
    <xf numFmtId="166" fontId="8" fillId="0" borderId="10" xfId="53" applyNumberFormat="1" applyFont="1" applyBorder="1" applyAlignment="1">
      <alignment horizontal="center" vertical="center"/>
      <protection/>
    </xf>
    <xf numFmtId="166" fontId="6" fillId="0" borderId="11" xfId="53" applyNumberFormat="1" applyFont="1" applyBorder="1" applyAlignment="1">
      <alignment horizontal="center" vertical="center"/>
      <protection/>
    </xf>
    <xf numFmtId="0" fontId="6" fillId="0" borderId="10" xfId="0" applyFont="1" applyBorder="1" applyAlignment="1">
      <alignment horizontal="center" vertical="center" wrapText="1"/>
    </xf>
    <xf numFmtId="166" fontId="6" fillId="0" borderId="11" xfId="53" applyNumberFormat="1" applyFont="1" applyFill="1" applyBorder="1" applyAlignment="1">
      <alignment horizontal="center" vertical="center"/>
      <protection/>
    </xf>
    <xf numFmtId="2" fontId="6" fillId="0" borderId="11" xfId="53" applyNumberFormat="1" applyFont="1" applyBorder="1" applyAlignment="1">
      <alignment horizontal="center" vertical="center"/>
      <protection/>
    </xf>
    <xf numFmtId="166" fontId="8" fillId="0" borderId="12" xfId="53" applyNumberFormat="1" applyFont="1" applyBorder="1" applyAlignment="1">
      <alignment horizontal="center" vertical="center"/>
      <protection/>
    </xf>
    <xf numFmtId="166" fontId="6" fillId="0" borderId="10" xfId="0" applyNumberFormat="1" applyFont="1" applyBorder="1" applyAlignment="1">
      <alignment horizontal="center" vertical="center" wrapText="1"/>
    </xf>
    <xf numFmtId="166" fontId="6" fillId="0" borderId="13" xfId="0" applyNumberFormat="1" applyFont="1" applyBorder="1" applyAlignment="1">
      <alignment horizontal="center" vertical="center" wrapText="1"/>
    </xf>
    <xf numFmtId="166" fontId="8" fillId="0" borderId="14" xfId="53" applyNumberFormat="1" applyFont="1" applyBorder="1" applyAlignment="1">
      <alignment horizontal="center" vertical="center"/>
      <protection/>
    </xf>
    <xf numFmtId="166" fontId="6" fillId="33" borderId="11" xfId="53" applyNumberFormat="1" applyFont="1" applyFill="1" applyBorder="1" applyAlignment="1">
      <alignment horizontal="center" vertical="center"/>
      <protection/>
    </xf>
    <xf numFmtId="2" fontId="6" fillId="0" borderId="14" xfId="53" applyNumberFormat="1" applyFont="1" applyBorder="1" applyAlignment="1">
      <alignment horizontal="center" vertical="center"/>
      <protection/>
    </xf>
    <xf numFmtId="166" fontId="6" fillId="0" borderId="11" xfId="0" applyNumberFormat="1" applyFont="1" applyBorder="1" applyAlignment="1">
      <alignment horizontal="center" vertical="center" wrapText="1"/>
    </xf>
    <xf numFmtId="166" fontId="6" fillId="0" borderId="15" xfId="53" applyNumberFormat="1" applyFont="1" applyBorder="1" applyAlignment="1">
      <alignment horizontal="center" vertical="center"/>
      <protection/>
    </xf>
    <xf numFmtId="2" fontId="4" fillId="0" borderId="11" xfId="53" applyNumberFormat="1" applyFont="1" applyBorder="1" applyAlignment="1">
      <alignment horizontal="center" vertical="center"/>
      <protection/>
    </xf>
    <xf numFmtId="0" fontId="6" fillId="0" borderId="10" xfId="0" applyFont="1" applyBorder="1" applyAlignment="1">
      <alignment horizontal="center" vertical="center"/>
    </xf>
    <xf numFmtId="166" fontId="6" fillId="0" borderId="10" xfId="53" applyNumberFormat="1" applyFont="1" applyBorder="1" applyAlignment="1">
      <alignment horizontal="center" vertical="center" wrapText="1"/>
      <protection/>
    </xf>
    <xf numFmtId="166" fontId="6" fillId="0" borderId="10" xfId="0" applyNumberFormat="1" applyFont="1" applyBorder="1" applyAlignment="1">
      <alignment horizontal="center" vertical="center"/>
    </xf>
    <xf numFmtId="166" fontId="3" fillId="0" borderId="0" xfId="0" applyNumberFormat="1" applyFont="1" applyAlignment="1">
      <alignment vertical="center"/>
    </xf>
    <xf numFmtId="166" fontId="4" fillId="0" borderId="0" xfId="53" applyNumberFormat="1" applyFont="1" applyAlignment="1">
      <alignment horizontal="center" vertical="center"/>
      <protection/>
    </xf>
    <xf numFmtId="166" fontId="6" fillId="0" borderId="10" xfId="0" applyNumberFormat="1" applyFont="1" applyBorder="1" applyAlignment="1" applyProtection="1">
      <alignment horizontal="center" vertical="center" wrapText="1"/>
      <protection locked="0"/>
    </xf>
    <xf numFmtId="166" fontId="6" fillId="0" borderId="0" xfId="0" applyNumberFormat="1" applyFont="1" applyAlignment="1">
      <alignment horizontal="center" vertical="center"/>
    </xf>
    <xf numFmtId="173" fontId="4" fillId="0" borderId="0" xfId="53" applyNumberFormat="1" applyFont="1">
      <alignment/>
      <protection/>
    </xf>
    <xf numFmtId="173" fontId="4" fillId="0" borderId="0" xfId="53" applyNumberFormat="1" applyFont="1" applyAlignment="1">
      <alignment horizontal="right" vertical="center" wrapText="1"/>
      <protection/>
    </xf>
    <xf numFmtId="0" fontId="4" fillId="0" borderId="0" xfId="53" applyFont="1" applyAlignment="1">
      <alignment vertical="center" wrapText="1"/>
      <protection/>
    </xf>
    <xf numFmtId="166" fontId="6" fillId="0" borderId="12" xfId="53" applyNumberFormat="1" applyFont="1" applyBorder="1" applyAlignment="1">
      <alignment horizontal="center" vertical="center"/>
      <protection/>
    </xf>
    <xf numFmtId="0" fontId="6" fillId="0" borderId="10" xfId="0" applyFont="1" applyBorder="1" applyAlignment="1">
      <alignment horizontal="justify" vertical="center" wrapText="1"/>
    </xf>
    <xf numFmtId="166" fontId="6" fillId="0" borderId="16" xfId="53" applyNumberFormat="1" applyFont="1" applyBorder="1" applyAlignment="1">
      <alignment horizontal="center" vertical="center"/>
      <protection/>
    </xf>
    <xf numFmtId="166" fontId="6" fillId="0" borderId="14" xfId="53" applyNumberFormat="1" applyFont="1" applyBorder="1" applyAlignment="1">
      <alignment horizontal="center" vertical="center"/>
      <protection/>
    </xf>
    <xf numFmtId="166" fontId="6" fillId="0" borderId="17" xfId="53" applyNumberFormat="1" applyFont="1" applyBorder="1" applyAlignment="1">
      <alignment horizontal="center" vertical="center"/>
      <protection/>
    </xf>
    <xf numFmtId="166" fontId="6" fillId="0" borderId="11" xfId="0" applyNumberFormat="1" applyFont="1" applyBorder="1" applyAlignment="1" applyProtection="1">
      <alignment horizontal="center" vertical="center" wrapText="1"/>
      <protection locked="0"/>
    </xf>
    <xf numFmtId="166" fontId="6" fillId="0" borderId="11" xfId="53" applyNumberFormat="1" applyFont="1" applyBorder="1" applyAlignment="1" applyProtection="1">
      <alignment horizontal="center" vertical="center"/>
      <protection locked="0"/>
    </xf>
    <xf numFmtId="166" fontId="6" fillId="0" borderId="11" xfId="0" applyNumberFormat="1" applyFont="1" applyBorder="1" applyAlignment="1" applyProtection="1">
      <alignment horizontal="center"/>
      <protection locked="0"/>
    </xf>
    <xf numFmtId="166" fontId="6" fillId="34" borderId="11" xfId="0" applyNumberFormat="1" applyFont="1" applyFill="1" applyBorder="1" applyAlignment="1" applyProtection="1">
      <alignment horizontal="center" vertical="center" wrapText="1"/>
      <protection locked="0"/>
    </xf>
    <xf numFmtId="166" fontId="76" fillId="0" borderId="11" xfId="0" applyNumberFormat="1" applyFont="1" applyBorder="1" applyAlignment="1">
      <alignment horizontal="center" vertical="center" wrapText="1"/>
    </xf>
    <xf numFmtId="166" fontId="6" fillId="0" borderId="15" xfId="0" applyNumberFormat="1" applyFont="1" applyBorder="1" applyAlignment="1">
      <alignment horizontal="center" vertical="center" wrapText="1"/>
    </xf>
    <xf numFmtId="166" fontId="6" fillId="0" borderId="14" xfId="0" applyNumberFormat="1" applyFont="1" applyBorder="1" applyAlignment="1">
      <alignment horizontal="center" vertical="center"/>
    </xf>
    <xf numFmtId="174" fontId="6" fillId="0" borderId="10" xfId="53" applyNumberFormat="1" applyFont="1" applyBorder="1" applyAlignment="1">
      <alignment horizontal="center" vertical="center"/>
      <protection/>
    </xf>
    <xf numFmtId="0" fontId="11" fillId="0" borderId="0" xfId="54" applyFont="1" applyFill="1" applyProtection="1">
      <alignment/>
      <protection hidden="1"/>
    </xf>
    <xf numFmtId="0" fontId="11" fillId="0" borderId="0" xfId="54" applyFont="1" applyFill="1" applyAlignment="1" applyProtection="1">
      <alignment horizontal="right"/>
      <protection hidden="1"/>
    </xf>
    <xf numFmtId="0" fontId="11" fillId="0" borderId="0" xfId="0" applyFont="1" applyFill="1" applyAlignment="1">
      <alignment/>
    </xf>
    <xf numFmtId="175" fontId="11" fillId="0" borderId="0" xfId="0" applyNumberFormat="1" applyFont="1" applyFill="1" applyAlignment="1">
      <alignment/>
    </xf>
    <xf numFmtId="0" fontId="12" fillId="0" borderId="10" xfId="56" applyFont="1" applyFill="1" applyBorder="1" applyAlignment="1" applyProtection="1">
      <alignment horizontal="center" vertical="center" wrapText="1"/>
      <protection hidden="1"/>
    </xf>
    <xf numFmtId="175" fontId="12" fillId="0" borderId="10" xfId="56" applyNumberFormat="1" applyFont="1" applyFill="1" applyBorder="1" applyAlignment="1" applyProtection="1">
      <alignment horizontal="center" vertical="center" wrapText="1"/>
      <protection hidden="1"/>
    </xf>
    <xf numFmtId="0" fontId="12" fillId="0" borderId="1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10" xfId="56" applyFont="1" applyFill="1" applyBorder="1" applyAlignment="1" applyProtection="1">
      <alignment horizontal="left" vertical="center" wrapText="1"/>
      <protection/>
    </xf>
    <xf numFmtId="166" fontId="11" fillId="0" borderId="10" xfId="55" applyNumberFormat="1" applyFont="1" applyFill="1" applyBorder="1" applyProtection="1">
      <alignment/>
      <protection hidden="1"/>
    </xf>
    <xf numFmtId="4" fontId="11" fillId="0" borderId="10" xfId="54" applyNumberFormat="1" applyFont="1" applyFill="1" applyBorder="1" applyProtection="1">
      <alignment/>
      <protection hidden="1"/>
    </xf>
    <xf numFmtId="165" fontId="11" fillId="0" borderId="10" xfId="0" applyNumberFormat="1" applyFont="1" applyFill="1" applyBorder="1" applyAlignment="1">
      <alignment/>
    </xf>
    <xf numFmtId="165" fontId="12" fillId="0" borderId="10" xfId="0" applyNumberFormat="1" applyFont="1" applyFill="1" applyBorder="1" applyAlignment="1">
      <alignment/>
    </xf>
    <xf numFmtId="4" fontId="12" fillId="0" borderId="10" xfId="54" applyNumberFormat="1" applyFont="1" applyFill="1" applyBorder="1" applyProtection="1">
      <alignment/>
      <protection hidden="1"/>
    </xf>
    <xf numFmtId="0" fontId="4" fillId="0" borderId="10" xfId="54" applyFont="1" applyBorder="1" applyProtection="1">
      <alignment/>
      <protection hidden="1"/>
    </xf>
    <xf numFmtId="4" fontId="4" fillId="0" borderId="10" xfId="54" applyNumberFormat="1" applyFont="1" applyFill="1" applyBorder="1" applyProtection="1">
      <alignment/>
      <protection hidden="1"/>
    </xf>
    <xf numFmtId="0" fontId="12" fillId="0" borderId="10" xfId="56" applyFont="1" applyFill="1" applyBorder="1" applyAlignment="1" applyProtection="1">
      <alignment horizontal="left" vertical="center" wrapText="1"/>
      <protection/>
    </xf>
    <xf numFmtId="1" fontId="12" fillId="0" borderId="10" xfId="56" applyNumberFormat="1" applyFont="1" applyFill="1" applyBorder="1" applyProtection="1">
      <alignment/>
      <protection hidden="1"/>
    </xf>
    <xf numFmtId="166" fontId="12" fillId="0" borderId="10" xfId="0" applyNumberFormat="1" applyFont="1" applyFill="1" applyBorder="1" applyAlignment="1">
      <alignment/>
    </xf>
    <xf numFmtId="0" fontId="11" fillId="0" borderId="10" xfId="54" applyFont="1" applyBorder="1" applyAlignment="1" applyProtection="1">
      <alignment wrapText="1"/>
      <protection hidden="1"/>
    </xf>
    <xf numFmtId="173" fontId="77" fillId="0" borderId="0" xfId="53" applyNumberFormat="1" applyFont="1">
      <alignment/>
      <protection/>
    </xf>
    <xf numFmtId="173" fontId="78" fillId="0" borderId="0" xfId="53" applyNumberFormat="1" applyFont="1">
      <alignment/>
      <protection/>
    </xf>
    <xf numFmtId="0" fontId="13" fillId="0" borderId="10" xfId="56" applyFont="1" applyFill="1" applyBorder="1" applyAlignment="1" applyProtection="1">
      <alignment horizontal="left" vertical="center" wrapText="1"/>
      <protection/>
    </xf>
    <xf numFmtId="166" fontId="8" fillId="5" borderId="10" xfId="53" applyNumberFormat="1" applyFont="1" applyFill="1" applyBorder="1" applyAlignment="1">
      <alignment horizontal="center" vertical="center"/>
      <protection/>
    </xf>
    <xf numFmtId="2" fontId="4" fillId="5" borderId="10" xfId="53" applyNumberFormat="1" applyFont="1" applyFill="1" applyBorder="1" applyAlignment="1">
      <alignment horizontal="center" vertical="center"/>
      <protection/>
    </xf>
    <xf numFmtId="166" fontId="8" fillId="7" borderId="10" xfId="53" applyNumberFormat="1" applyFont="1" applyFill="1" applyBorder="1" applyAlignment="1">
      <alignment horizontal="center" vertical="center"/>
      <protection/>
    </xf>
    <xf numFmtId="0" fontId="7" fillId="7" borderId="10" xfId="0" applyFont="1" applyFill="1" applyBorder="1" applyAlignment="1">
      <alignment horizontal="left"/>
    </xf>
    <xf numFmtId="166" fontId="8" fillId="5" borderId="17" xfId="53" applyNumberFormat="1" applyFont="1" applyFill="1" applyBorder="1" applyAlignment="1">
      <alignment horizontal="center" vertical="center"/>
      <protection/>
    </xf>
    <xf numFmtId="0" fontId="7" fillId="5" borderId="17" xfId="0" applyFont="1" applyFill="1" applyBorder="1" applyAlignment="1">
      <alignment horizontal="left"/>
    </xf>
    <xf numFmtId="2" fontId="4" fillId="7" borderId="10" xfId="53" applyNumberFormat="1" applyFont="1" applyFill="1" applyBorder="1" applyAlignment="1">
      <alignment horizontal="center" vertical="center"/>
      <protection/>
    </xf>
    <xf numFmtId="166" fontId="8" fillId="7" borderId="14" xfId="53" applyNumberFormat="1" applyFont="1" applyFill="1" applyBorder="1" applyAlignment="1">
      <alignment horizontal="center" vertical="center"/>
      <protection/>
    </xf>
    <xf numFmtId="2" fontId="4" fillId="7" borderId="14" xfId="53" applyNumberFormat="1" applyFont="1" applyFill="1" applyBorder="1" applyAlignment="1">
      <alignment horizontal="center" vertical="center"/>
      <protection/>
    </xf>
    <xf numFmtId="166" fontId="8" fillId="5" borderId="14" xfId="53" applyNumberFormat="1" applyFont="1" applyFill="1" applyBorder="1" applyAlignment="1">
      <alignment horizontal="center" vertical="center"/>
      <protection/>
    </xf>
    <xf numFmtId="2" fontId="4" fillId="5" borderId="14" xfId="53" applyNumberFormat="1" applyFont="1" applyFill="1" applyBorder="1" applyAlignment="1">
      <alignment horizontal="center" vertical="center"/>
      <protection/>
    </xf>
    <xf numFmtId="166" fontId="8" fillId="7" borderId="17" xfId="53" applyNumberFormat="1" applyFont="1" applyFill="1" applyBorder="1" applyAlignment="1">
      <alignment horizontal="center" vertical="center"/>
      <protection/>
    </xf>
    <xf numFmtId="2" fontId="4" fillId="7" borderId="17" xfId="53" applyNumberFormat="1" applyFont="1" applyFill="1" applyBorder="1" applyAlignment="1">
      <alignment horizontal="center" vertical="center"/>
      <protection/>
    </xf>
    <xf numFmtId="2" fontId="4" fillId="5" borderId="17" xfId="53" applyNumberFormat="1" applyFont="1" applyFill="1" applyBorder="1" applyAlignment="1">
      <alignment horizontal="center" vertical="center"/>
      <protection/>
    </xf>
    <xf numFmtId="166" fontId="8" fillId="7" borderId="18" xfId="53" applyNumberFormat="1" applyFont="1" applyFill="1" applyBorder="1" applyAlignment="1">
      <alignment horizontal="center" vertical="center"/>
      <protection/>
    </xf>
    <xf numFmtId="2" fontId="10" fillId="7" borderId="10" xfId="53" applyNumberFormat="1" applyFont="1" applyFill="1" applyBorder="1" applyAlignment="1">
      <alignment horizontal="center" vertical="center"/>
      <protection/>
    </xf>
    <xf numFmtId="166" fontId="8" fillId="7" borderId="13" xfId="53" applyNumberFormat="1" applyFont="1" applyFill="1" applyBorder="1" applyAlignment="1">
      <alignment horizontal="center" vertical="center"/>
      <protection/>
    </xf>
    <xf numFmtId="0" fontId="15" fillId="0" borderId="0" xfId="0" applyFont="1" applyAlignment="1">
      <alignment horizontal="right" vertical="center"/>
    </xf>
    <xf numFmtId="166" fontId="6" fillId="0" borderId="10" xfId="53" applyNumberFormat="1" applyFont="1" applyFill="1" applyBorder="1" applyAlignment="1">
      <alignment horizontal="center" vertical="center"/>
      <protection/>
    </xf>
    <xf numFmtId="166" fontId="79" fillId="0" borderId="11" xfId="53" applyNumberFormat="1" applyFont="1" applyBorder="1" applyAlignment="1">
      <alignment horizontal="center" vertical="center"/>
      <protection/>
    </xf>
    <xf numFmtId="2" fontId="79" fillId="0" borderId="10" xfId="53" applyNumberFormat="1" applyFont="1" applyBorder="1" applyAlignment="1">
      <alignment horizontal="center" vertical="center"/>
      <protection/>
    </xf>
    <xf numFmtId="166" fontId="79" fillId="0" borderId="10" xfId="53" applyNumberFormat="1" applyFont="1" applyBorder="1" applyAlignment="1">
      <alignment horizontal="center" vertical="center"/>
      <protection/>
    </xf>
    <xf numFmtId="166" fontId="6" fillId="0" borderId="19" xfId="0" applyNumberFormat="1" applyFont="1" applyBorder="1" applyAlignment="1">
      <alignment horizontal="center" vertical="center" wrapText="1"/>
    </xf>
    <xf numFmtId="0" fontId="15" fillId="0" borderId="13" xfId="53" applyFont="1" applyBorder="1" applyAlignment="1">
      <alignment horizontal="center" vertical="center"/>
      <protection/>
    </xf>
    <xf numFmtId="0" fontId="15" fillId="0" borderId="10" xfId="0" applyFont="1" applyBorder="1" applyAlignment="1">
      <alignment vertical="center" wrapText="1"/>
    </xf>
    <xf numFmtId="0" fontId="16" fillId="7" borderId="13" xfId="53" applyFont="1" applyFill="1" applyBorder="1" applyAlignment="1">
      <alignment horizontal="left" vertical="center"/>
      <protection/>
    </xf>
    <xf numFmtId="0" fontId="17" fillId="7" borderId="17" xfId="0" applyFont="1" applyFill="1" applyBorder="1" applyAlignment="1">
      <alignment vertical="center"/>
    </xf>
    <xf numFmtId="0" fontId="15" fillId="0" borderId="10" xfId="53" applyFont="1" applyBorder="1" applyAlignment="1">
      <alignment horizontal="center" vertical="center"/>
      <protection/>
    </xf>
    <xf numFmtId="0" fontId="15" fillId="0" borderId="10" xfId="53" applyFont="1" applyBorder="1" applyAlignment="1">
      <alignment vertical="center" wrapText="1"/>
      <protection/>
    </xf>
    <xf numFmtId="0" fontId="15" fillId="0" borderId="14" xfId="53" applyFont="1" applyBorder="1" applyAlignment="1">
      <alignment horizontal="center" vertical="center"/>
      <protection/>
    </xf>
    <xf numFmtId="0" fontId="15" fillId="0" borderId="14" xfId="53" applyFont="1" applyBorder="1" applyAlignment="1">
      <alignment vertical="center" wrapText="1"/>
      <protection/>
    </xf>
    <xf numFmtId="0" fontId="80" fillId="0" borderId="10" xfId="0" applyFont="1" applyBorder="1" applyAlignment="1">
      <alignment vertical="center" wrapText="1"/>
    </xf>
    <xf numFmtId="0" fontId="15" fillId="0" borderId="17" xfId="53" applyFont="1" applyBorder="1" applyAlignment="1">
      <alignment horizontal="center" vertical="center"/>
      <protection/>
    </xf>
    <xf numFmtId="0" fontId="15" fillId="0" borderId="17" xfId="53" applyFont="1" applyBorder="1" applyAlignment="1">
      <alignment vertical="center" wrapText="1"/>
      <protection/>
    </xf>
    <xf numFmtId="0" fontId="15" fillId="0" borderId="19" xfId="53" applyFont="1" applyBorder="1" applyAlignment="1">
      <alignment horizontal="center" vertical="center"/>
      <protection/>
    </xf>
    <xf numFmtId="0" fontId="15" fillId="0" borderId="14" xfId="0" applyFont="1" applyBorder="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80" fillId="0" borderId="10" xfId="0" applyFont="1" applyBorder="1" applyAlignment="1">
      <alignment horizontal="justify" vertical="center" wrapText="1"/>
    </xf>
    <xf numFmtId="0" fontId="80" fillId="0" borderId="14"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10" xfId="0" applyFont="1" applyBorder="1" applyAlignment="1">
      <alignment horizontal="left" vertical="center" wrapText="1"/>
    </xf>
    <xf numFmtId="0" fontId="15" fillId="0" borderId="10" xfId="0" applyFont="1" applyBorder="1" applyAlignment="1">
      <alignment horizontal="justify" vertical="center" wrapText="1"/>
    </xf>
    <xf numFmtId="0" fontId="16" fillId="0" borderId="14" xfId="53" applyFont="1" applyBorder="1" applyAlignment="1">
      <alignment vertical="center" wrapText="1"/>
      <protection/>
    </xf>
    <xf numFmtId="0" fontId="16" fillId="0" borderId="10" xfId="53" applyFont="1" applyBorder="1" applyAlignment="1">
      <alignment vertical="center" wrapText="1"/>
      <protection/>
    </xf>
    <xf numFmtId="0" fontId="15" fillId="0" borderId="19" xfId="0" applyFont="1" applyBorder="1" applyAlignment="1">
      <alignment vertical="center" wrapText="1"/>
    </xf>
    <xf numFmtId="166" fontId="15" fillId="0" borderId="10" xfId="0" applyNumberFormat="1" applyFont="1" applyBorder="1" applyAlignment="1">
      <alignment horizontal="left" vertical="center" wrapText="1"/>
    </xf>
    <xf numFmtId="0" fontId="81" fillId="0" borderId="10" xfId="0" applyFont="1" applyBorder="1" applyAlignment="1">
      <alignment vertical="center" wrapText="1"/>
    </xf>
    <xf numFmtId="0" fontId="15" fillId="0" borderId="10" xfId="53" applyFont="1" applyBorder="1" applyAlignment="1">
      <alignment wrapText="1"/>
      <protection/>
    </xf>
    <xf numFmtId="0" fontId="16" fillId="0" borderId="18" xfId="53" applyFont="1" applyBorder="1" applyAlignment="1">
      <alignment vertical="center" wrapText="1"/>
      <protection/>
    </xf>
    <xf numFmtId="0" fontId="15" fillId="0" borderId="13" xfId="53" applyFont="1" applyFill="1" applyBorder="1" applyAlignment="1">
      <alignment horizontal="center" vertical="center"/>
      <protection/>
    </xf>
    <xf numFmtId="0" fontId="15" fillId="0" borderId="20" xfId="53" applyFont="1" applyFill="1" applyBorder="1" applyAlignment="1">
      <alignment horizontal="center" vertical="center"/>
      <protection/>
    </xf>
    <xf numFmtId="0" fontId="15" fillId="0" borderId="10" xfId="53" applyFont="1" applyFill="1" applyBorder="1" applyAlignment="1">
      <alignment horizontal="center" vertical="center"/>
      <protection/>
    </xf>
    <xf numFmtId="0" fontId="15" fillId="0" borderId="10" xfId="53" applyFont="1" applyBorder="1" applyAlignment="1">
      <alignment vertical="center"/>
      <protection/>
    </xf>
    <xf numFmtId="0" fontId="16" fillId="0" borderId="17" xfId="53" applyFont="1" applyBorder="1" applyAlignment="1">
      <alignment horizontal="center" vertical="center"/>
      <protection/>
    </xf>
    <xf numFmtId="0" fontId="80" fillId="0" borderId="10" xfId="0" applyFont="1" applyBorder="1" applyAlignment="1">
      <alignment horizontal="left" vertical="center" wrapText="1"/>
    </xf>
    <xf numFmtId="0" fontId="80" fillId="0" borderId="14" xfId="0" applyFont="1" applyBorder="1" applyAlignment="1">
      <alignment vertical="center" wrapText="1"/>
    </xf>
    <xf numFmtId="0" fontId="15" fillId="0" borderId="0" xfId="0" applyFont="1" applyAlignment="1">
      <alignment vertical="center" wrapText="1"/>
    </xf>
    <xf numFmtId="0" fontId="15" fillId="0" borderId="13" xfId="53" applyFont="1" applyBorder="1" applyAlignment="1">
      <alignment horizontal="center" vertical="center" wrapText="1"/>
      <protection/>
    </xf>
    <xf numFmtId="0" fontId="15" fillId="0" borderId="13" xfId="0" applyFont="1" applyBorder="1" applyAlignment="1">
      <alignment vertical="center" wrapText="1"/>
    </xf>
    <xf numFmtId="0" fontId="15" fillId="33" borderId="10" xfId="0" applyFont="1" applyFill="1" applyBorder="1" applyAlignment="1">
      <alignment vertical="center" wrapText="1"/>
    </xf>
    <xf numFmtId="0" fontId="17" fillId="7" borderId="18" xfId="0" applyFont="1" applyFill="1" applyBorder="1" applyAlignment="1">
      <alignment vertical="center"/>
    </xf>
    <xf numFmtId="0" fontId="15" fillId="0" borderId="14" xfId="0" applyFont="1" applyBorder="1" applyAlignment="1">
      <alignment horizontal="justify" vertical="center" wrapText="1"/>
    </xf>
    <xf numFmtId="0" fontId="17" fillId="5" borderId="14" xfId="0" applyFont="1" applyFill="1" applyBorder="1" applyAlignment="1">
      <alignment vertical="center"/>
    </xf>
    <xf numFmtId="0" fontId="15" fillId="0" borderId="10" xfId="53" applyFont="1" applyBorder="1" applyAlignment="1">
      <alignment horizontal="center" vertical="center" wrapText="1"/>
      <protection/>
    </xf>
    <xf numFmtId="0" fontId="16" fillId="7" borderId="19" xfId="53" applyFont="1" applyFill="1" applyBorder="1" applyAlignment="1">
      <alignment horizontal="left" vertical="center"/>
      <protection/>
    </xf>
    <xf numFmtId="0" fontId="15" fillId="0" borderId="10" xfId="0" applyFont="1" applyBorder="1" applyAlignment="1">
      <alignment horizontal="center" vertical="center" wrapText="1"/>
    </xf>
    <xf numFmtId="0" fontId="80" fillId="0" borderId="10" xfId="0" applyFont="1" applyBorder="1" applyAlignment="1">
      <alignment horizontal="center" vertical="center"/>
    </xf>
    <xf numFmtId="0" fontId="15" fillId="0" borderId="17" xfId="53" applyFont="1" applyBorder="1" applyAlignment="1">
      <alignment horizontal="left" vertical="center" wrapText="1"/>
      <protection/>
    </xf>
    <xf numFmtId="0" fontId="15" fillId="0" borderId="10" xfId="53" applyFont="1" applyBorder="1" applyAlignment="1">
      <alignment horizontal="left" vertical="center" wrapText="1"/>
      <protection/>
    </xf>
    <xf numFmtId="0" fontId="15" fillId="0" borderId="10" xfId="53" applyFont="1" applyBorder="1" applyAlignment="1">
      <alignment horizontal="left" vertical="top" wrapText="1"/>
      <protection/>
    </xf>
    <xf numFmtId="0" fontId="16" fillId="7" borderId="21" xfId="53" applyFont="1" applyFill="1" applyBorder="1" applyAlignment="1">
      <alignment horizontal="left" vertical="center"/>
      <protection/>
    </xf>
    <xf numFmtId="0" fontId="15" fillId="0" borderId="10" xfId="0" applyFont="1" applyBorder="1" applyAlignment="1">
      <alignment wrapText="1"/>
    </xf>
    <xf numFmtId="0" fontId="16" fillId="7" borderId="10" xfId="53" applyFont="1" applyFill="1" applyBorder="1" applyAlignment="1">
      <alignment horizontal="left" vertical="center"/>
      <protection/>
    </xf>
    <xf numFmtId="0" fontId="17" fillId="7" borderId="14" xfId="0" applyFont="1" applyFill="1" applyBorder="1" applyAlignment="1">
      <alignment vertical="center"/>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166" fontId="11" fillId="0" borderId="10" xfId="0" applyNumberFormat="1" applyFont="1" applyBorder="1" applyAlignment="1">
      <alignment horizontal="center" vertical="center" wrapText="1"/>
    </xf>
    <xf numFmtId="166" fontId="11" fillId="0" borderId="13"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166" fontId="8" fillId="0" borderId="10" xfId="53" applyNumberFormat="1" applyFont="1" applyFill="1" applyBorder="1" applyAlignment="1">
      <alignment horizontal="center" vertical="center"/>
      <protection/>
    </xf>
    <xf numFmtId="0" fontId="4" fillId="0" borderId="10" xfId="0" applyFont="1" applyBorder="1" applyAlignment="1">
      <alignment horizontal="center" vertical="center" wrapText="1"/>
    </xf>
    <xf numFmtId="2" fontId="4" fillId="0" borderId="10" xfId="53" applyNumberFormat="1" applyFont="1" applyBorder="1" applyAlignment="1">
      <alignment horizontal="center" vertical="center" wrapText="1"/>
      <protection/>
    </xf>
    <xf numFmtId="176" fontId="15" fillId="33" borderId="10" xfId="0" applyNumberFormat="1" applyFont="1" applyFill="1" applyBorder="1" applyAlignment="1">
      <alignment horizontal="center" vertical="center"/>
    </xf>
    <xf numFmtId="176" fontId="15" fillId="33" borderId="14"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4" fontId="15" fillId="0" borderId="11" xfId="53" applyNumberFormat="1" applyFont="1" applyFill="1" applyBorder="1" applyAlignment="1">
      <alignment horizontal="center" vertical="center"/>
      <protection/>
    </xf>
    <xf numFmtId="176" fontId="15" fillId="0" borderId="11" xfId="53" applyNumberFormat="1" applyFont="1" applyFill="1" applyBorder="1" applyAlignment="1">
      <alignment horizontal="center" vertical="center"/>
      <protection/>
    </xf>
    <xf numFmtId="4" fontId="15" fillId="0" borderId="10" xfId="53" applyNumberFormat="1" applyFont="1" applyFill="1" applyBorder="1" applyAlignment="1">
      <alignment horizontal="center" vertical="center"/>
      <protection/>
    </xf>
    <xf numFmtId="177" fontId="15" fillId="0" borderId="11" xfId="53" applyNumberFormat="1" applyFont="1" applyFill="1" applyBorder="1" applyAlignment="1">
      <alignment horizontal="center" vertical="center"/>
      <protection/>
    </xf>
    <xf numFmtId="2" fontId="15" fillId="0" borderId="11" xfId="53" applyNumberFormat="1" applyFont="1" applyFill="1" applyBorder="1" applyAlignment="1">
      <alignment horizontal="center" vertical="center"/>
      <protection/>
    </xf>
    <xf numFmtId="166" fontId="15" fillId="0" borderId="10" xfId="53" applyNumberFormat="1" applyFont="1" applyFill="1" applyBorder="1" applyAlignment="1">
      <alignment horizontal="center" vertical="center"/>
      <protection/>
    </xf>
    <xf numFmtId="0" fontId="4" fillId="0" borderId="10" xfId="0" applyFont="1" applyBorder="1" applyAlignment="1">
      <alignment horizontal="left" vertical="center" wrapText="1"/>
    </xf>
    <xf numFmtId="176" fontId="6" fillId="0" borderId="17"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176" fontId="6" fillId="33" borderId="17" xfId="0" applyNumberFormat="1" applyFont="1" applyFill="1" applyBorder="1" applyAlignment="1">
      <alignment horizontal="center" vertical="center"/>
    </xf>
    <xf numFmtId="176" fontId="6" fillId="33" borderId="14" xfId="0" applyNumberFormat="1" applyFont="1" applyFill="1" applyBorder="1" applyAlignment="1">
      <alignment horizontal="center" vertical="center"/>
    </xf>
    <xf numFmtId="176" fontId="82" fillId="33" borderId="10" xfId="0" applyNumberFormat="1" applyFont="1" applyFill="1" applyBorder="1" applyAlignment="1">
      <alignment horizontal="center" vertical="center"/>
    </xf>
    <xf numFmtId="178" fontId="6" fillId="0" borderId="17"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176" fontId="76" fillId="0" borderId="10" xfId="0" applyNumberFormat="1" applyFont="1" applyFill="1" applyBorder="1" applyAlignment="1">
      <alignment horizontal="center" vertical="center" wrapText="1"/>
    </xf>
    <xf numFmtId="174" fontId="6" fillId="0" borderId="10" xfId="0" applyNumberFormat="1" applyFont="1" applyBorder="1" applyAlignment="1">
      <alignment horizontal="center" vertical="distributed" wrapText="1"/>
    </xf>
    <xf numFmtId="166" fontId="6" fillId="33" borderId="10" xfId="53" applyNumberFormat="1" applyFont="1" applyFill="1" applyBorder="1" applyAlignment="1">
      <alignment horizontal="center" vertical="center"/>
      <protection/>
    </xf>
    <xf numFmtId="0" fontId="11" fillId="0" borderId="17" xfId="0" applyNumberFormat="1" applyFont="1" applyFill="1" applyBorder="1" applyAlignment="1">
      <alignment horizontal="center" vertical="center" wrapText="1"/>
    </xf>
    <xf numFmtId="166" fontId="6" fillId="0" borderId="14" xfId="53" applyNumberFormat="1" applyFont="1" applyFill="1" applyBorder="1" applyAlignment="1">
      <alignment horizontal="center" vertical="center"/>
      <protection/>
    </xf>
    <xf numFmtId="166" fontId="8" fillId="0" borderId="14" xfId="53" applyNumberFormat="1" applyFont="1" applyFill="1" applyBorder="1" applyAlignment="1">
      <alignment horizontal="center" vertical="center"/>
      <protection/>
    </xf>
    <xf numFmtId="166" fontId="6" fillId="0" borderId="10" xfId="0" applyNumberFormat="1" applyFont="1" applyFill="1" applyBorder="1" applyAlignment="1">
      <alignment horizontal="center" vertical="center" wrapText="1"/>
    </xf>
    <xf numFmtId="0" fontId="11" fillId="35" borderId="17" xfId="0" applyNumberFormat="1" applyFont="1" applyFill="1" applyBorder="1" applyAlignment="1">
      <alignment horizontal="center" vertical="center" wrapText="1"/>
    </xf>
    <xf numFmtId="166" fontId="8" fillId="35" borderId="10" xfId="53" applyNumberFormat="1" applyFont="1" applyFill="1" applyBorder="1" applyAlignment="1">
      <alignment horizontal="center" vertical="center"/>
      <protection/>
    </xf>
    <xf numFmtId="166" fontId="6" fillId="0" borderId="22" xfId="0" applyNumberFormat="1" applyFont="1" applyBorder="1" applyAlignment="1">
      <alignment horizontal="center" vertical="center" wrapText="1"/>
    </xf>
    <xf numFmtId="166" fontId="8" fillId="35" borderId="14" xfId="53" applyNumberFormat="1" applyFont="1" applyFill="1" applyBorder="1" applyAlignment="1">
      <alignment horizontal="center" vertical="center"/>
      <protection/>
    </xf>
    <xf numFmtId="0" fontId="17" fillId="5" borderId="17" xfId="0" applyFont="1" applyFill="1" applyBorder="1" applyAlignment="1">
      <alignment vertical="center"/>
    </xf>
    <xf numFmtId="0" fontId="83" fillId="0" borderId="0" xfId="53" applyFont="1" applyBorder="1" applyAlignment="1">
      <alignment horizontal="right" vertical="center" wrapText="1"/>
      <protection/>
    </xf>
    <xf numFmtId="166" fontId="83" fillId="0" borderId="10" xfId="53" applyNumberFormat="1" applyFont="1" applyBorder="1" applyAlignment="1">
      <alignment horizontal="center" vertical="center"/>
      <protection/>
    </xf>
    <xf numFmtId="3" fontId="83" fillId="0" borderId="10" xfId="53" applyNumberFormat="1" applyFont="1" applyBorder="1" applyAlignment="1">
      <alignment horizontal="center" vertical="center"/>
      <protection/>
    </xf>
    <xf numFmtId="166" fontId="83" fillId="0" borderId="10" xfId="53" applyNumberFormat="1" applyFont="1" applyFill="1" applyBorder="1" applyAlignment="1">
      <alignment horizontal="center" vertical="center"/>
      <protection/>
    </xf>
    <xf numFmtId="2" fontId="84" fillId="0" borderId="10" xfId="53" applyNumberFormat="1" applyFont="1" applyBorder="1" applyAlignment="1">
      <alignment horizontal="center" vertical="center"/>
      <protection/>
    </xf>
    <xf numFmtId="0" fontId="17" fillId="7" borderId="10" xfId="0" applyFont="1" applyFill="1" applyBorder="1" applyAlignment="1">
      <alignment vertical="center"/>
    </xf>
    <xf numFmtId="0" fontId="16" fillId="5" borderId="13" xfId="53" applyFont="1" applyFill="1" applyBorder="1" applyAlignment="1">
      <alignment horizontal="left" vertical="center"/>
      <protection/>
    </xf>
    <xf numFmtId="0" fontId="15" fillId="0" borderId="10" xfId="0" applyFont="1" applyFill="1" applyBorder="1" applyAlignment="1">
      <alignment vertical="center" wrapText="1"/>
    </xf>
    <xf numFmtId="0" fontId="15" fillId="0" borderId="10" xfId="53" applyFont="1" applyFill="1" applyBorder="1" applyAlignment="1">
      <alignment vertical="center" wrapText="1"/>
      <protection/>
    </xf>
    <xf numFmtId="0" fontId="80" fillId="0" borderId="10" xfId="0" applyFont="1" applyFill="1" applyBorder="1" applyAlignment="1">
      <alignment vertical="center" wrapText="1"/>
    </xf>
    <xf numFmtId="0" fontId="80"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justify" vertical="center" wrapText="1"/>
    </xf>
    <xf numFmtId="0" fontId="16" fillId="0" borderId="10" xfId="53" applyFont="1" applyFill="1" applyBorder="1" applyAlignment="1">
      <alignment vertical="center" wrapText="1"/>
      <protection/>
    </xf>
    <xf numFmtId="166" fontId="15" fillId="0" borderId="10" xfId="0" applyNumberFormat="1" applyFont="1" applyFill="1" applyBorder="1" applyAlignment="1">
      <alignment horizontal="left" vertical="center" wrapText="1"/>
    </xf>
    <xf numFmtId="174" fontId="6" fillId="0" borderId="10" xfId="53" applyNumberFormat="1" applyFont="1" applyFill="1" applyBorder="1" applyAlignment="1">
      <alignment horizontal="center" vertical="center"/>
      <protection/>
    </xf>
    <xf numFmtId="0" fontId="81" fillId="0" borderId="10" xfId="0" applyFont="1" applyFill="1" applyBorder="1" applyAlignment="1">
      <alignment vertical="center" wrapText="1"/>
    </xf>
    <xf numFmtId="0" fontId="15" fillId="0" borderId="10" xfId="53" applyFont="1" applyFill="1" applyBorder="1" applyAlignment="1">
      <alignment wrapText="1"/>
      <protection/>
    </xf>
    <xf numFmtId="0" fontId="15" fillId="0" borderId="10" xfId="53" applyFont="1" applyFill="1" applyBorder="1" applyAlignment="1">
      <alignment vertical="center"/>
      <protection/>
    </xf>
    <xf numFmtId="0" fontId="80" fillId="0" borderId="10" xfId="0" applyFont="1" applyFill="1" applyBorder="1" applyAlignment="1">
      <alignment horizontal="left" vertical="center" wrapText="1"/>
    </xf>
    <xf numFmtId="166" fontId="6" fillId="0" borderId="10" xfId="0" applyNumberFormat="1" applyFont="1" applyFill="1" applyBorder="1" applyAlignment="1" applyProtection="1">
      <alignment horizontal="center" vertical="center" wrapText="1"/>
      <protection locked="0"/>
    </xf>
    <xf numFmtId="166" fontId="6" fillId="0" borderId="10" xfId="0" applyNumberFormat="1" applyFont="1" applyFill="1" applyBorder="1" applyAlignment="1">
      <alignment horizontal="center" vertical="center"/>
    </xf>
    <xf numFmtId="0" fontId="15" fillId="0" borderId="10" xfId="53"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80" fillId="0" borderId="10" xfId="0" applyFont="1" applyFill="1" applyBorder="1" applyAlignment="1">
      <alignment horizontal="center" vertical="center"/>
    </xf>
    <xf numFmtId="0" fontId="15" fillId="0" borderId="10" xfId="53" applyFont="1" applyFill="1" applyBorder="1" applyAlignment="1">
      <alignment horizontal="left" vertical="center" wrapText="1"/>
      <protection/>
    </xf>
    <xf numFmtId="166" fontId="6" fillId="0" borderId="10" xfId="53" applyNumberFormat="1" applyFont="1" applyFill="1" applyBorder="1" applyAlignment="1">
      <alignment horizontal="center" vertical="center" wrapText="1"/>
      <protection/>
    </xf>
    <xf numFmtId="0" fontId="15" fillId="0" borderId="10" xfId="53" applyFont="1" applyFill="1" applyBorder="1" applyAlignment="1">
      <alignment horizontal="left" vertical="top" wrapText="1"/>
      <protection/>
    </xf>
    <xf numFmtId="166" fontId="1" fillId="0" borderId="10" xfId="53" applyNumberFormat="1" applyFont="1" applyFill="1" applyBorder="1" applyAlignment="1">
      <alignment horizontal="center" vertical="center"/>
      <protection/>
    </xf>
    <xf numFmtId="166" fontId="11" fillId="0" borderId="10" xfId="53" applyNumberFormat="1" applyFont="1" applyFill="1" applyBorder="1" applyAlignment="1">
      <alignment horizontal="left" vertical="center"/>
      <protection/>
    </xf>
    <xf numFmtId="166" fontId="11" fillId="0" borderId="10" xfId="53" applyNumberFormat="1" applyFont="1" applyFill="1" applyBorder="1" applyAlignment="1">
      <alignment horizontal="left" vertical="center" wrapText="1"/>
      <protection/>
    </xf>
    <xf numFmtId="0" fontId="6" fillId="0" borderId="10" xfId="53" applyFont="1" applyBorder="1" applyAlignment="1">
      <alignment vertical="center" wrapText="1"/>
      <protection/>
    </xf>
    <xf numFmtId="166" fontId="8" fillId="36" borderId="10" xfId="53" applyNumberFormat="1" applyFont="1" applyFill="1" applyBorder="1" applyAlignment="1">
      <alignment horizontal="center" vertical="center"/>
      <protection/>
    </xf>
    <xf numFmtId="174" fontId="6" fillId="0" borderId="10" xfId="0" applyNumberFormat="1" applyFont="1" applyFill="1" applyBorder="1" applyAlignment="1">
      <alignment horizontal="center" vertical="center" wrapText="1"/>
    </xf>
    <xf numFmtId="0" fontId="6" fillId="0" borderId="10" xfId="53" applyFont="1" applyBorder="1" applyAlignment="1">
      <alignment horizontal="center" vertical="center"/>
      <protection/>
    </xf>
    <xf numFmtId="0" fontId="6" fillId="0" borderId="10" xfId="0" applyFont="1" applyBorder="1" applyAlignment="1">
      <alignment vertical="center" wrapText="1"/>
    </xf>
    <xf numFmtId="0" fontId="11" fillId="0" borderId="10" xfId="0" applyFont="1" applyBorder="1" applyAlignment="1">
      <alignment vertical="center" wrapText="1"/>
    </xf>
    <xf numFmtId="166" fontId="4" fillId="0" borderId="10" xfId="53" applyNumberFormat="1" applyFont="1" applyFill="1" applyBorder="1" applyAlignment="1">
      <alignment horizontal="left" vertical="center" wrapText="1"/>
      <protection/>
    </xf>
    <xf numFmtId="166" fontId="11" fillId="36" borderId="10" xfId="53" applyNumberFormat="1" applyFont="1" applyFill="1" applyBorder="1" applyAlignment="1">
      <alignment horizontal="left" vertical="center" wrapText="1"/>
      <protection/>
    </xf>
    <xf numFmtId="0" fontId="16" fillId="36" borderId="10" xfId="53" applyFont="1" applyFill="1" applyBorder="1" applyAlignment="1">
      <alignment horizontal="left" vertical="center"/>
      <protection/>
    </xf>
    <xf numFmtId="0" fontId="6" fillId="0" borderId="10" xfId="53" applyFont="1" applyBorder="1" applyAlignment="1">
      <alignment horizontal="center" vertical="center" wrapText="1"/>
      <protection/>
    </xf>
    <xf numFmtId="0" fontId="6" fillId="0" borderId="10" xfId="0" applyFont="1" applyFill="1" applyBorder="1" applyAlignment="1">
      <alignment vertical="center" wrapText="1"/>
    </xf>
    <xf numFmtId="0" fontId="85" fillId="0" borderId="10" xfId="0" applyFont="1" applyBorder="1" applyAlignment="1">
      <alignment horizontal="left" vertical="center" wrapText="1"/>
    </xf>
    <xf numFmtId="166" fontId="11" fillId="0" borderId="10" xfId="53" applyNumberFormat="1" applyFont="1" applyBorder="1" applyAlignment="1">
      <alignment horizontal="left" vertical="center" wrapText="1"/>
      <protection/>
    </xf>
    <xf numFmtId="166" fontId="11" fillId="0" borderId="10" xfId="53" applyNumberFormat="1" applyFont="1" applyFill="1" applyBorder="1" applyAlignment="1">
      <alignment horizontal="justify" vertical="center" wrapText="1"/>
      <protection/>
    </xf>
    <xf numFmtId="0" fontId="6" fillId="0" borderId="10" xfId="53" applyFont="1" applyFill="1" applyBorder="1" applyAlignment="1">
      <alignment horizontal="center" vertical="center" wrapText="1"/>
      <protection/>
    </xf>
    <xf numFmtId="49" fontId="11" fillId="0" borderId="10" xfId="53" applyNumberFormat="1" applyFont="1" applyFill="1" applyBorder="1" applyAlignment="1">
      <alignment horizontal="left" vertical="center" wrapText="1"/>
      <protection/>
    </xf>
    <xf numFmtId="0" fontId="11" fillId="0" borderId="10" xfId="0" applyFont="1" applyBorder="1" applyAlignment="1">
      <alignment wrapText="1"/>
    </xf>
    <xf numFmtId="2" fontId="11" fillId="0" borderId="10" xfId="53" applyNumberFormat="1" applyFont="1" applyFill="1" applyBorder="1" applyAlignment="1">
      <alignment horizontal="left" vertical="top" wrapText="1"/>
      <protection/>
    </xf>
    <xf numFmtId="0" fontId="11" fillId="0" borderId="10" xfId="53" applyNumberFormat="1" applyFont="1" applyFill="1" applyBorder="1" applyAlignment="1">
      <alignment horizontal="left" vertical="top" wrapText="1"/>
      <protection/>
    </xf>
    <xf numFmtId="2" fontId="11" fillId="33" borderId="10" xfId="53" applyNumberFormat="1" applyFont="1" applyFill="1" applyBorder="1" applyAlignment="1">
      <alignment horizontal="left" vertical="top" wrapText="1"/>
      <protection/>
    </xf>
    <xf numFmtId="49" fontId="11" fillId="33" borderId="10"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10" xfId="53" applyNumberFormat="1" applyFont="1" applyFill="1" applyBorder="1" applyAlignment="1">
      <alignment horizontal="left" vertical="top" wrapText="1"/>
      <protection/>
    </xf>
    <xf numFmtId="0" fontId="11" fillId="33" borderId="10" xfId="53" applyNumberFormat="1" applyFont="1" applyFill="1" applyBorder="1" applyAlignment="1">
      <alignment horizontal="left" vertical="top" wrapText="1"/>
      <protection/>
    </xf>
    <xf numFmtId="173" fontId="8" fillId="0" borderId="10" xfId="53" applyNumberFormat="1" applyFont="1" applyFill="1" applyBorder="1" applyAlignment="1">
      <alignment vertical="center"/>
      <protection/>
    </xf>
    <xf numFmtId="173" fontId="8" fillId="36" borderId="10" xfId="53" applyNumberFormat="1" applyFont="1" applyFill="1" applyBorder="1" applyAlignment="1">
      <alignment vertical="center"/>
      <protection/>
    </xf>
    <xf numFmtId="49" fontId="20" fillId="0" borderId="10" xfId="53" applyNumberFormat="1" applyFont="1" applyFill="1" applyBorder="1" applyAlignment="1">
      <alignment horizontal="left" vertical="center" wrapText="1"/>
      <protection/>
    </xf>
    <xf numFmtId="49" fontId="11" fillId="33" borderId="10" xfId="53" applyNumberFormat="1" applyFont="1" applyFill="1" applyBorder="1" applyAlignment="1">
      <alignment horizontal="left" vertical="top" wrapText="1"/>
      <protection/>
    </xf>
    <xf numFmtId="0" fontId="86" fillId="0" borderId="10" xfId="0" applyFont="1" applyBorder="1" applyAlignment="1">
      <alignment horizontal="left" vertical="center" wrapText="1"/>
    </xf>
    <xf numFmtId="165" fontId="87" fillId="0" borderId="10" xfId="0" applyNumberFormat="1" applyFont="1" applyFill="1" applyBorder="1" applyAlignment="1">
      <alignment/>
    </xf>
    <xf numFmtId="165" fontId="88" fillId="0" borderId="10" xfId="0" applyNumberFormat="1" applyFont="1" applyFill="1" applyBorder="1" applyAlignment="1">
      <alignment/>
    </xf>
    <xf numFmtId="4" fontId="88" fillId="0" borderId="10" xfId="54" applyNumberFormat="1" applyFont="1" applyFill="1" applyBorder="1" applyProtection="1">
      <alignment/>
      <protection hidden="1"/>
    </xf>
    <xf numFmtId="165" fontId="89" fillId="0" borderId="10" xfId="0" applyNumberFormat="1" applyFont="1" applyFill="1" applyBorder="1" applyAlignment="1">
      <alignment/>
    </xf>
    <xf numFmtId="166" fontId="88" fillId="0" borderId="10" xfId="0" applyNumberFormat="1" applyFont="1" applyFill="1" applyBorder="1" applyAlignment="1">
      <alignment/>
    </xf>
    <xf numFmtId="3" fontId="11" fillId="0" borderId="10" xfId="54" applyNumberFormat="1" applyFont="1" applyFill="1" applyBorder="1" applyAlignment="1" applyProtection="1">
      <alignment horizontal="center"/>
      <protection hidden="1"/>
    </xf>
    <xf numFmtId="3" fontId="87" fillId="0" borderId="10" xfId="54" applyNumberFormat="1" applyFont="1" applyFill="1" applyBorder="1" applyAlignment="1" applyProtection="1">
      <alignment horizontal="center"/>
      <protection hidden="1"/>
    </xf>
    <xf numFmtId="3" fontId="90" fillId="0" borderId="10" xfId="54" applyNumberFormat="1" applyFont="1" applyFill="1" applyBorder="1" applyAlignment="1" applyProtection="1">
      <alignment horizontal="center"/>
      <protection hidden="1"/>
    </xf>
    <xf numFmtId="3" fontId="89" fillId="0" borderId="10" xfId="54" applyNumberFormat="1" applyFont="1" applyFill="1" applyBorder="1" applyAlignment="1" applyProtection="1">
      <alignment horizontal="center"/>
      <protection hidden="1"/>
    </xf>
    <xf numFmtId="181" fontId="11" fillId="0" borderId="10" xfId="0" applyNumberFormat="1" applyFont="1" applyFill="1" applyBorder="1" applyAlignment="1">
      <alignment horizontal="center"/>
    </xf>
    <xf numFmtId="181" fontId="87" fillId="0" borderId="10" xfId="0" applyNumberFormat="1" applyFont="1" applyFill="1" applyBorder="1" applyAlignment="1">
      <alignment horizontal="center"/>
    </xf>
    <xf numFmtId="181" fontId="88" fillId="0" borderId="10" xfId="0" applyNumberFormat="1" applyFont="1" applyFill="1" applyBorder="1" applyAlignment="1">
      <alignment horizontal="center"/>
    </xf>
    <xf numFmtId="181" fontId="12" fillId="0" borderId="10" xfId="0" applyNumberFormat="1" applyFont="1" applyFill="1" applyBorder="1" applyAlignment="1">
      <alignment horizontal="center"/>
    </xf>
    <xf numFmtId="165" fontId="91" fillId="0" borderId="10" xfId="0" applyNumberFormat="1" applyFont="1" applyFill="1" applyBorder="1" applyAlignment="1">
      <alignment/>
    </xf>
    <xf numFmtId="3" fontId="4" fillId="0" borderId="10" xfId="54" applyNumberFormat="1" applyFont="1" applyFill="1" applyBorder="1" applyAlignment="1" applyProtection="1">
      <alignment horizontal="center"/>
      <protection hidden="1"/>
    </xf>
    <xf numFmtId="181" fontId="11" fillId="0" borderId="10" xfId="54" applyNumberFormat="1" applyFont="1" applyFill="1" applyBorder="1" applyAlignment="1" applyProtection="1">
      <alignment horizontal="center"/>
      <protection hidden="1"/>
    </xf>
    <xf numFmtId="165" fontId="90" fillId="0" borderId="10" xfId="0" applyNumberFormat="1" applyFont="1" applyFill="1" applyBorder="1" applyAlignment="1">
      <alignment/>
    </xf>
    <xf numFmtId="181" fontId="4" fillId="0" borderId="10" xfId="0" applyNumberFormat="1" applyFont="1" applyFill="1" applyBorder="1" applyAlignment="1">
      <alignment horizontal="center"/>
    </xf>
    <xf numFmtId="165" fontId="4" fillId="0" borderId="10" xfId="0" applyNumberFormat="1" applyFont="1" applyFill="1" applyBorder="1" applyAlignment="1">
      <alignment/>
    </xf>
    <xf numFmtId="181" fontId="90" fillId="0" borderId="10" xfId="0" applyNumberFormat="1" applyFont="1" applyFill="1" applyBorder="1" applyAlignment="1">
      <alignment horizontal="center"/>
    </xf>
    <xf numFmtId="181" fontId="10" fillId="0" borderId="10" xfId="0" applyNumberFormat="1" applyFont="1" applyFill="1" applyBorder="1" applyAlignment="1">
      <alignment horizontal="center"/>
    </xf>
    <xf numFmtId="165" fontId="10" fillId="0" borderId="10" xfId="0" applyNumberFormat="1" applyFont="1" applyFill="1" applyBorder="1" applyAlignment="1">
      <alignment/>
    </xf>
    <xf numFmtId="3" fontId="13" fillId="0" borderId="10" xfId="54" applyNumberFormat="1" applyFont="1" applyFill="1" applyBorder="1" applyAlignment="1" applyProtection="1">
      <alignment horizontal="center"/>
      <protection hidden="1"/>
    </xf>
    <xf numFmtId="165" fontId="13" fillId="0" borderId="10" xfId="0" applyNumberFormat="1" applyFont="1" applyFill="1" applyBorder="1" applyAlignment="1">
      <alignment/>
    </xf>
    <xf numFmtId="181" fontId="13" fillId="0" borderId="10" xfId="0" applyNumberFormat="1" applyFont="1" applyFill="1" applyBorder="1" applyAlignment="1">
      <alignment horizontal="center"/>
    </xf>
    <xf numFmtId="181" fontId="25" fillId="0" borderId="10" xfId="0" applyNumberFormat="1" applyFont="1" applyFill="1" applyBorder="1" applyAlignment="1">
      <alignment horizontal="center"/>
    </xf>
    <xf numFmtId="165" fontId="25" fillId="0" borderId="10" xfId="0" applyNumberFormat="1" applyFont="1" applyFill="1" applyBorder="1" applyAlignment="1">
      <alignment/>
    </xf>
    <xf numFmtId="3" fontId="12" fillId="0" borderId="10" xfId="0" applyNumberFormat="1" applyFont="1" applyFill="1" applyBorder="1" applyAlignment="1">
      <alignment horizontal="center"/>
    </xf>
    <xf numFmtId="0" fontId="22" fillId="0" borderId="0" xfId="0" applyFont="1" applyFill="1" applyAlignment="1">
      <alignment horizontal="center"/>
    </xf>
    <xf numFmtId="0" fontId="17" fillId="36" borderId="10" xfId="0" applyFont="1" applyFill="1" applyBorder="1" applyAlignment="1">
      <alignment vertical="center"/>
    </xf>
    <xf numFmtId="166" fontId="76" fillId="0" borderId="10" xfId="0" applyNumberFormat="1" applyFont="1" applyFill="1" applyBorder="1" applyAlignment="1">
      <alignment horizontal="center" vertical="center" wrapText="1"/>
    </xf>
    <xf numFmtId="0" fontId="11" fillId="33" borderId="10" xfId="0" applyFont="1" applyFill="1" applyBorder="1" applyAlignment="1">
      <alignment vertical="top" wrapText="1"/>
    </xf>
    <xf numFmtId="0" fontId="6" fillId="0" borderId="10" xfId="53" applyFont="1" applyFill="1" applyBorder="1" applyAlignment="1">
      <alignment horizontal="center" vertical="center"/>
      <protection/>
    </xf>
    <xf numFmtId="0" fontId="16" fillId="0" borderId="10" xfId="53" applyFont="1" applyFill="1" applyBorder="1" applyAlignment="1">
      <alignment horizontal="center" vertical="center"/>
      <protection/>
    </xf>
    <xf numFmtId="0" fontId="11" fillId="0" borderId="10" xfId="0" applyFont="1" applyBorder="1" applyAlignment="1">
      <alignment vertical="center"/>
    </xf>
    <xf numFmtId="166" fontId="6" fillId="0" borderId="10" xfId="53" applyNumberFormat="1" applyFont="1" applyFill="1" applyBorder="1" applyAlignment="1" applyProtection="1">
      <alignment horizontal="center" vertical="center"/>
      <protection locked="0"/>
    </xf>
    <xf numFmtId="166" fontId="6" fillId="0" borderId="10" xfId="0" applyNumberFormat="1" applyFont="1" applyFill="1" applyBorder="1" applyAlignment="1" applyProtection="1">
      <alignment horizontal="center"/>
      <protection locked="0"/>
    </xf>
    <xf numFmtId="0" fontId="85" fillId="0" borderId="10" xfId="0" applyFont="1" applyBorder="1" applyAlignment="1">
      <alignment vertical="center" wrapText="1"/>
    </xf>
    <xf numFmtId="166" fontId="20" fillId="0" borderId="10" xfId="53" applyNumberFormat="1" applyFont="1" applyBorder="1" applyAlignment="1">
      <alignment horizontal="justify" vertical="center" wrapText="1"/>
      <protection/>
    </xf>
    <xf numFmtId="0" fontId="4" fillId="0" borderId="10" xfId="53" applyFont="1" applyFill="1" applyBorder="1" applyAlignment="1">
      <alignment horizontal="center" vertical="center"/>
      <protection/>
    </xf>
    <xf numFmtId="0" fontId="1" fillId="0" borderId="10" xfId="53" applyFont="1" applyFill="1" applyBorder="1" applyAlignment="1">
      <alignment horizontal="right" vertical="center" wrapText="1"/>
      <protection/>
    </xf>
    <xf numFmtId="0" fontId="0" fillId="0" borderId="0" xfId="0" applyAlignment="1">
      <alignment/>
    </xf>
    <xf numFmtId="0" fontId="16" fillId="36" borderId="10" xfId="53" applyFont="1" applyFill="1" applyBorder="1" applyAlignment="1">
      <alignment horizontal="left" vertical="center" wrapText="1"/>
      <protection/>
    </xf>
    <xf numFmtId="0" fontId="17" fillId="36" borderId="10" xfId="0" applyFont="1" applyFill="1" applyBorder="1" applyAlignment="1">
      <alignment horizontal="left" vertical="center"/>
    </xf>
    <xf numFmtId="0" fontId="16" fillId="36" borderId="10" xfId="53" applyFont="1" applyFill="1" applyBorder="1" applyAlignment="1">
      <alignment horizontal="left" vertical="top" wrapText="1"/>
      <protection/>
    </xf>
    <xf numFmtId="166" fontId="11" fillId="0" borderId="23" xfId="0" applyNumberFormat="1" applyFont="1" applyFill="1" applyBorder="1" applyAlignment="1">
      <alignment horizontal="center" vertical="center" wrapText="1"/>
    </xf>
    <xf numFmtId="166" fontId="11" fillId="0" borderId="24"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3" fillId="0" borderId="0" xfId="53" applyFont="1" applyFill="1" applyAlignment="1">
      <alignment horizontal="center" wrapText="1"/>
      <protection/>
    </xf>
    <xf numFmtId="0" fontId="24" fillId="0" borderId="0" xfId="0" applyFont="1" applyFill="1" applyAlignment="1">
      <alignment/>
    </xf>
    <xf numFmtId="0" fontId="24" fillId="0" borderId="0" xfId="0" applyFont="1" applyAlignment="1">
      <alignment/>
    </xf>
    <xf numFmtId="0" fontId="15" fillId="0" borderId="26" xfId="0" applyFont="1" applyBorder="1" applyAlignment="1">
      <alignment horizontal="right" vertical="center"/>
    </xf>
    <xf numFmtId="0" fontId="0" fillId="0" borderId="26" xfId="0" applyBorder="1" applyAlignment="1">
      <alignment vertical="center"/>
    </xf>
    <xf numFmtId="166" fontId="11" fillId="0" borderId="25" xfId="0" applyNumberFormat="1" applyFont="1" applyFill="1" applyBorder="1" applyAlignment="1">
      <alignment horizontal="center" vertical="center" wrapText="1"/>
    </xf>
    <xf numFmtId="0" fontId="17" fillId="36" borderId="10" xfId="0" applyFont="1" applyFill="1" applyBorder="1" applyAlignment="1">
      <alignment horizontal="left"/>
    </xf>
    <xf numFmtId="0" fontId="16" fillId="36" borderId="10" xfId="53" applyFont="1" applyFill="1" applyBorder="1" applyAlignment="1">
      <alignment vertical="center" wrapText="1"/>
      <protection/>
    </xf>
    <xf numFmtId="0" fontId="17" fillId="36" borderId="10" xfId="0" applyFont="1" applyFill="1" applyBorder="1" applyAlignment="1">
      <alignment vertical="center"/>
    </xf>
    <xf numFmtId="0" fontId="15" fillId="0" borderId="0" xfId="53" applyFont="1" applyFill="1" applyAlignment="1">
      <alignment horizontal="left" vertical="center"/>
      <protection/>
    </xf>
    <xf numFmtId="0" fontId="16" fillId="36" borderId="10" xfId="53" applyFont="1" applyFill="1" applyBorder="1" applyAlignment="1">
      <alignment horizontal="left" vertical="center"/>
      <protection/>
    </xf>
    <xf numFmtId="166" fontId="11" fillId="0" borderId="27" xfId="0" applyNumberFormat="1" applyFont="1" applyFill="1" applyBorder="1" applyAlignment="1">
      <alignment horizontal="center" vertical="center" wrapText="1"/>
    </xf>
    <xf numFmtId="166" fontId="11" fillId="0" borderId="20" xfId="0" applyNumberFormat="1" applyFont="1" applyFill="1" applyBorder="1" applyAlignment="1">
      <alignment horizontal="center" vertical="center" wrapText="1"/>
    </xf>
    <xf numFmtId="166" fontId="11" fillId="0" borderId="28" xfId="0" applyNumberFormat="1" applyFont="1" applyFill="1" applyBorder="1" applyAlignment="1">
      <alignment horizontal="center" vertical="center" wrapText="1"/>
    </xf>
    <xf numFmtId="166" fontId="11" fillId="0" borderId="18"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0" fillId="0" borderId="30" xfId="0" applyFill="1" applyBorder="1" applyAlignment="1">
      <alignment horizontal="center" vertical="center" wrapText="1"/>
    </xf>
    <xf numFmtId="166" fontId="11" fillId="0" borderId="10" xfId="53" applyNumberFormat="1" applyFont="1" applyFill="1" applyBorder="1" applyAlignment="1">
      <alignment horizontal="left" vertical="center" wrapText="1"/>
      <protection/>
    </xf>
    <xf numFmtId="0" fontId="0" fillId="0" borderId="10" xfId="0" applyBorder="1" applyAlignment="1">
      <alignment horizontal="left" vertical="center" wrapText="1"/>
    </xf>
    <xf numFmtId="0" fontId="12"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0" xfId="0" applyFont="1" applyFill="1" applyAlignment="1">
      <alignment horizontal="center" vertical="center" wrapText="1"/>
    </xf>
    <xf numFmtId="0" fontId="12" fillId="0" borderId="10" xfId="56" applyFont="1" applyFill="1" applyBorder="1" applyAlignment="1" applyProtection="1">
      <alignment horizontal="center" vertical="center" wrapText="1"/>
      <protection hidden="1"/>
    </xf>
    <xf numFmtId="0" fontId="10"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1" xfId="0" applyBorder="1" applyAlignment="1">
      <alignment horizontal="center" vertical="center" wrapText="1"/>
    </xf>
    <xf numFmtId="0" fontId="6" fillId="0" borderId="0" xfId="53" applyFont="1" applyAlignment="1">
      <alignment horizontal="center" vertical="top" wrapText="1"/>
      <protection/>
    </xf>
    <xf numFmtId="0" fontId="0" fillId="0" borderId="0" xfId="0" applyAlignment="1">
      <alignment horizontal="center"/>
    </xf>
    <xf numFmtId="0" fontId="8" fillId="0" borderId="0" xfId="53" applyFont="1" applyAlignment="1">
      <alignment horizontal="center" wrapText="1"/>
      <protection/>
    </xf>
    <xf numFmtId="0" fontId="7" fillId="0" borderId="0" xfId="0" applyFont="1" applyAlignment="1">
      <alignment/>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1" fillId="0" borderId="10" xfId="0" applyFont="1" applyBorder="1" applyAlignment="1">
      <alignment horizontal="center" vertical="center" wrapText="1"/>
    </xf>
    <xf numFmtId="0" fontId="19" fillId="0" borderId="10" xfId="0" applyFont="1" applyBorder="1" applyAlignment="1">
      <alignment horizontal="center" vertical="center" wrapText="1"/>
    </xf>
    <xf numFmtId="166" fontId="11" fillId="0" borderId="10" xfId="0" applyNumberFormat="1" applyFont="1" applyBorder="1" applyAlignment="1">
      <alignment horizontal="center" vertical="center" wrapText="1"/>
    </xf>
    <xf numFmtId="166" fontId="11" fillId="0" borderId="10" xfId="0" applyNumberFormat="1" applyFont="1" applyFill="1" applyBorder="1" applyAlignment="1">
      <alignment horizontal="center" vertical="center" wrapText="1"/>
    </xf>
    <xf numFmtId="166" fontId="11" fillId="0" borderId="27" xfId="0" applyNumberFormat="1" applyFont="1" applyBorder="1" applyAlignment="1">
      <alignment horizontal="center" vertical="center" wrapText="1"/>
    </xf>
    <xf numFmtId="0" fontId="19" fillId="0" borderId="31" xfId="0" applyFont="1" applyBorder="1" applyAlignment="1">
      <alignment horizontal="center"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166" fontId="11" fillId="0" borderId="14" xfId="0" applyNumberFormat="1" applyFont="1" applyBorder="1" applyAlignment="1">
      <alignment horizontal="center" vertical="center" wrapText="1"/>
    </xf>
    <xf numFmtId="166" fontId="11" fillId="0" borderId="17" xfId="0" applyNumberFormat="1" applyFont="1" applyBorder="1" applyAlignment="1">
      <alignment horizontal="center" vertical="center" wrapText="1"/>
    </xf>
    <xf numFmtId="166" fontId="11" fillId="35" borderId="14" xfId="0" applyNumberFormat="1" applyFont="1" applyFill="1" applyBorder="1" applyAlignment="1">
      <alignment horizontal="center" vertical="center" wrapText="1"/>
    </xf>
    <xf numFmtId="166" fontId="11" fillId="35" borderId="17"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0" fontId="19" fillId="0" borderId="17" xfId="0" applyFont="1" applyBorder="1" applyAlignment="1">
      <alignment horizontal="center" vertical="center" wrapText="1"/>
    </xf>
    <xf numFmtId="0" fontId="16" fillId="5" borderId="21" xfId="53" applyFont="1" applyFill="1" applyBorder="1" applyAlignment="1">
      <alignment horizontal="left" vertical="top" wrapText="1"/>
      <protection/>
    </xf>
    <xf numFmtId="0" fontId="17" fillId="5" borderId="0" xfId="0" applyFont="1" applyFill="1" applyBorder="1" applyAlignment="1">
      <alignment horizontal="left"/>
    </xf>
    <xf numFmtId="0" fontId="16" fillId="5" borderId="13" xfId="53" applyFont="1" applyFill="1" applyBorder="1" applyAlignment="1">
      <alignment horizontal="left" vertical="center"/>
      <protection/>
    </xf>
    <xf numFmtId="0" fontId="17" fillId="5" borderId="12" xfId="0" applyFont="1" applyFill="1" applyBorder="1" applyAlignment="1">
      <alignment horizontal="left" vertical="center"/>
    </xf>
    <xf numFmtId="0" fontId="16" fillId="5" borderId="10" xfId="53" applyFont="1" applyFill="1" applyBorder="1" applyAlignment="1">
      <alignment horizontal="left" vertical="center" wrapText="1"/>
      <protection/>
    </xf>
    <xf numFmtId="0" fontId="17" fillId="5" borderId="18" xfId="0" applyFont="1" applyFill="1" applyBorder="1" applyAlignment="1">
      <alignment horizontal="left" vertical="center"/>
    </xf>
    <xf numFmtId="0" fontId="16" fillId="7" borderId="10" xfId="53" applyFont="1" applyFill="1" applyBorder="1" applyAlignment="1">
      <alignment horizontal="left" vertical="top" wrapText="1"/>
      <protection/>
    </xf>
    <xf numFmtId="0" fontId="17" fillId="7" borderId="14" xfId="0" applyFont="1" applyFill="1" applyBorder="1" applyAlignment="1">
      <alignment horizontal="left"/>
    </xf>
    <xf numFmtId="2" fontId="20" fillId="0" borderId="14" xfId="53" applyNumberFormat="1" applyFont="1" applyBorder="1" applyAlignment="1">
      <alignment horizontal="center" vertical="center" wrapText="1"/>
      <protection/>
    </xf>
    <xf numFmtId="0" fontId="21" fillId="0" borderId="17" xfId="0" applyFont="1" applyBorder="1" applyAlignment="1">
      <alignment horizontal="center" vertical="center" wrapText="1"/>
    </xf>
    <xf numFmtId="0" fontId="17" fillId="5" borderId="10" xfId="0" applyFont="1" applyFill="1" applyBorder="1" applyAlignment="1">
      <alignment horizontal="left" vertical="center"/>
    </xf>
    <xf numFmtId="0" fontId="16" fillId="7" borderId="10" xfId="53" applyFont="1" applyFill="1" applyBorder="1" applyAlignment="1">
      <alignment horizontal="left" vertical="center" wrapText="1"/>
      <protection/>
    </xf>
    <xf numFmtId="0" fontId="17" fillId="7" borderId="18" xfId="0" applyFont="1" applyFill="1" applyBorder="1" applyAlignment="1">
      <alignment horizontal="left" vertical="center"/>
    </xf>
    <xf numFmtId="0" fontId="16" fillId="7" borderId="10" xfId="53" applyFont="1" applyFill="1" applyBorder="1" applyAlignment="1">
      <alignment vertical="center" wrapText="1"/>
      <protection/>
    </xf>
    <xf numFmtId="0" fontId="17" fillId="7" borderId="10" xfId="0" applyFont="1" applyFill="1" applyBorder="1" applyAlignment="1">
      <alignment vertical="center"/>
    </xf>
    <xf numFmtId="0" fontId="16" fillId="5" borderId="13" xfId="53" applyFont="1" applyFill="1" applyBorder="1" applyAlignment="1">
      <alignment horizontal="left" vertical="top" wrapText="1"/>
      <protection/>
    </xf>
    <xf numFmtId="0" fontId="16" fillId="5" borderId="11" xfId="53" applyFont="1" applyFill="1" applyBorder="1" applyAlignment="1">
      <alignment horizontal="left" vertical="top" wrapText="1"/>
      <protection/>
    </xf>
    <xf numFmtId="0" fontId="16" fillId="7" borderId="13" xfId="53" applyFont="1" applyFill="1" applyBorder="1" applyAlignment="1">
      <alignment horizontal="left" vertical="center" wrapText="1"/>
      <protection/>
    </xf>
    <xf numFmtId="0" fontId="16" fillId="7" borderId="11" xfId="53" applyFont="1" applyFill="1" applyBorder="1" applyAlignment="1">
      <alignment horizontal="left" vertical="center" wrapText="1"/>
      <protection/>
    </xf>
    <xf numFmtId="0" fontId="16" fillId="7" borderId="13" xfId="53" applyFont="1" applyFill="1" applyBorder="1" applyAlignment="1">
      <alignment horizontal="left" vertical="top" wrapText="1"/>
      <protection/>
    </xf>
    <xf numFmtId="0" fontId="16" fillId="7" borderId="11" xfId="53" applyFont="1" applyFill="1" applyBorder="1" applyAlignment="1">
      <alignment horizontal="left" vertical="top" wrapText="1"/>
      <protection/>
    </xf>
    <xf numFmtId="0" fontId="16" fillId="5" borderId="13" xfId="53" applyFont="1" applyFill="1" applyBorder="1" applyAlignment="1">
      <alignment horizontal="left" vertical="center" wrapText="1"/>
      <protection/>
    </xf>
    <xf numFmtId="0" fontId="16" fillId="5" borderId="11" xfId="53" applyFont="1" applyFill="1" applyBorder="1" applyAlignment="1">
      <alignment horizontal="left" vertical="center" wrapText="1"/>
      <protection/>
    </xf>
    <xf numFmtId="0" fontId="6" fillId="0" borderId="0" xfId="53" applyFont="1" applyFill="1" applyAlignment="1">
      <alignment horizontal="left" vertical="center" wrapText="1"/>
      <protection/>
    </xf>
    <xf numFmtId="0" fontId="0" fillId="0" borderId="0" xfId="0" applyAlignment="1">
      <alignment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опия Расчет ИНП новое" xfId="54"/>
    <cellStyle name="Обычный_Копия Расчет ИНП новое 2" xfId="55"/>
    <cellStyle name="Обычный_Расчет фонда с учетом передачи транспортного налога Кулаков 20.09.0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57;&#1054;&#1062;&#1048;&#1040;&#1051;&#1068;&#1053;&#1054;%20&#1047;&#1053;&#1040;&#1063;&#1048;&#1052;&#1067;&#1045;%20&#1052;&#1045;&#1056;&#1054;&#1055;&#1056;&#1048;&#1071;&#1058;&#1048;&#1071;\2017\&#1048;&#1089;&#1087;&#1086;&#1083;&#1085;&#1077;&#1085;&#1080;&#1077;\&#1043;&#1086;&#1076;\&#1057;&#1074;&#1086;&#1076;\&#1057;&#1074;&#1086;&#1076;&#1085;&#1072;&#1103;%20&#1080;&#1085;&#1092;&#1086;&#1088;&#1084;&#1072;&#1094;&#1080;&#1103;%20&#1087;&#1086;%20&#1089;&#1092;&#1077;&#1088;&#1072;&#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роприятия"/>
      <sheetName val="Исполнение по сферам"/>
    </sheetNames>
    <sheetDataSet>
      <sheetData sheetId="0">
        <row r="5">
          <cell r="E5">
            <v>2576.5510000000004</v>
          </cell>
        </row>
        <row r="23">
          <cell r="E23">
            <v>4789</v>
          </cell>
        </row>
        <row r="39">
          <cell r="E39">
            <v>4333</v>
          </cell>
        </row>
        <row r="53">
          <cell r="E53">
            <v>1939.4200000000003</v>
          </cell>
        </row>
        <row r="63">
          <cell r="E63">
            <v>9232.952819999999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07"/>
  <sheetViews>
    <sheetView tabSelected="1" zoomScalePageLayoutView="0" workbookViewId="0" topLeftCell="A494">
      <selection activeCell="A507" sqref="A507:G507"/>
    </sheetView>
  </sheetViews>
  <sheetFormatPr defaultColWidth="9.125" defaultRowHeight="12.75"/>
  <cols>
    <col min="1" max="1" width="5.375" style="5" customWidth="1"/>
    <col min="2" max="2" width="91.625" style="34" customWidth="1"/>
    <col min="3" max="4" width="15.625" style="29" customWidth="1"/>
    <col min="5" max="5" width="13.375" style="29" customWidth="1"/>
    <col min="6" max="6" width="41.875" style="29" hidden="1" customWidth="1"/>
    <col min="7" max="7" width="12.625" style="32" customWidth="1"/>
    <col min="8" max="8" width="15.875" style="1" customWidth="1"/>
    <col min="9" max="16384" width="9.125" style="2" customWidth="1"/>
  </cols>
  <sheetData>
    <row r="1" spans="2:7" ht="75.75" customHeight="1">
      <c r="B1" s="281"/>
      <c r="C1" s="372" t="s">
        <v>973</v>
      </c>
      <c r="D1" s="373"/>
      <c r="E1" s="373"/>
      <c r="F1" s="373"/>
      <c r="G1" s="373"/>
    </row>
    <row r="2" spans="1:7" ht="38.25" customHeight="1">
      <c r="A2" s="302" t="s">
        <v>576</v>
      </c>
      <c r="B2" s="303"/>
      <c r="C2" s="303"/>
      <c r="D2" s="303"/>
      <c r="E2" s="303"/>
      <c r="F2" s="304"/>
      <c r="G2" s="304"/>
    </row>
    <row r="3" spans="1:6" ht="14.25" customHeight="1" thickBot="1">
      <c r="A3" s="6"/>
      <c r="B3" s="7"/>
      <c r="C3" s="28"/>
      <c r="D3" s="305" t="s">
        <v>52</v>
      </c>
      <c r="E3" s="306"/>
      <c r="F3" s="306"/>
    </row>
    <row r="4" spans="1:8" s="5" customFormat="1" ht="37.5" customHeight="1">
      <c r="A4" s="317" t="s">
        <v>0</v>
      </c>
      <c r="B4" s="300" t="s">
        <v>1</v>
      </c>
      <c r="C4" s="307" t="s">
        <v>573</v>
      </c>
      <c r="D4" s="315" t="s">
        <v>574</v>
      </c>
      <c r="E4" s="313" t="s">
        <v>575</v>
      </c>
      <c r="F4" s="300" t="s">
        <v>577</v>
      </c>
      <c r="G4" s="298" t="s">
        <v>469</v>
      </c>
      <c r="H4" s="4"/>
    </row>
    <row r="5" spans="1:8" s="5" customFormat="1" ht="12.75" customHeight="1">
      <c r="A5" s="318"/>
      <c r="B5" s="301"/>
      <c r="C5" s="301"/>
      <c r="D5" s="316"/>
      <c r="E5" s="314"/>
      <c r="F5" s="301"/>
      <c r="G5" s="299"/>
      <c r="H5" s="4"/>
    </row>
    <row r="6" spans="1:7" ht="24.75" customHeight="1">
      <c r="A6" s="297" t="s">
        <v>2</v>
      </c>
      <c r="B6" s="308"/>
      <c r="C6" s="225">
        <v>2683.8</v>
      </c>
      <c r="D6" s="225">
        <f>SUM(D7:D10)</f>
        <v>2683.7999999999997</v>
      </c>
      <c r="E6" s="225">
        <f aca="true" t="shared" si="0" ref="E6:E37">C6-D6</f>
        <v>0</v>
      </c>
      <c r="F6" s="225"/>
      <c r="G6" s="249">
        <f aca="true" t="shared" si="1" ref="G6:G37">D6/C6*100</f>
        <v>99.99999999999997</v>
      </c>
    </row>
    <row r="7" spans="1:7" ht="21" customHeight="1">
      <c r="A7" s="123">
        <v>1</v>
      </c>
      <c r="B7" s="199" t="s">
        <v>88</v>
      </c>
      <c r="C7" s="89">
        <v>506.8</v>
      </c>
      <c r="D7" s="89">
        <v>506.8</v>
      </c>
      <c r="E7" s="155">
        <f t="shared" si="0"/>
        <v>0</v>
      </c>
      <c r="F7" s="222" t="s">
        <v>608</v>
      </c>
      <c r="G7" s="248">
        <f t="shared" si="1"/>
        <v>100</v>
      </c>
    </row>
    <row r="8" spans="1:7" ht="25.5" customHeight="1">
      <c r="A8" s="123">
        <v>2</v>
      </c>
      <c r="B8" s="199" t="s">
        <v>89</v>
      </c>
      <c r="C8" s="89">
        <v>1203.6</v>
      </c>
      <c r="D8" s="89">
        <v>1203.6</v>
      </c>
      <c r="E8" s="155">
        <f t="shared" si="0"/>
        <v>0</v>
      </c>
      <c r="F8" s="223" t="s">
        <v>578</v>
      </c>
      <c r="G8" s="248">
        <f t="shared" si="1"/>
        <v>100</v>
      </c>
    </row>
    <row r="9" spans="1:7" ht="30" customHeight="1">
      <c r="A9" s="123">
        <v>3</v>
      </c>
      <c r="B9" s="199" t="s">
        <v>472</v>
      </c>
      <c r="C9" s="89">
        <v>602.3</v>
      </c>
      <c r="D9" s="89">
        <v>602.3</v>
      </c>
      <c r="E9" s="155">
        <f t="shared" si="0"/>
        <v>0</v>
      </c>
      <c r="F9" s="223" t="s">
        <v>579</v>
      </c>
      <c r="G9" s="248">
        <f t="shared" si="1"/>
        <v>100</v>
      </c>
    </row>
    <row r="10" spans="1:7" ht="22.5" customHeight="1">
      <c r="A10" s="123">
        <v>4</v>
      </c>
      <c r="B10" s="199" t="s">
        <v>90</v>
      </c>
      <c r="C10" s="89">
        <v>371.1</v>
      </c>
      <c r="D10" s="89">
        <v>371.1</v>
      </c>
      <c r="E10" s="155">
        <f t="shared" si="0"/>
        <v>0</v>
      </c>
      <c r="F10" s="223" t="s">
        <v>580</v>
      </c>
      <c r="G10" s="248">
        <f t="shared" si="1"/>
        <v>100</v>
      </c>
    </row>
    <row r="11" spans="1:7" ht="22.5" customHeight="1">
      <c r="A11" s="232" t="s">
        <v>3</v>
      </c>
      <c r="B11" s="282"/>
      <c r="C11" s="225">
        <v>5026.6</v>
      </c>
      <c r="D11" s="225">
        <f>SUM(D12:D27)</f>
        <v>5026.6</v>
      </c>
      <c r="E11" s="225">
        <f t="shared" si="0"/>
        <v>0</v>
      </c>
      <c r="F11" s="225"/>
      <c r="G11" s="249">
        <f t="shared" si="1"/>
        <v>100</v>
      </c>
    </row>
    <row r="12" spans="1:7" ht="33.75" customHeight="1">
      <c r="A12" s="123">
        <v>1</v>
      </c>
      <c r="B12" s="200" t="s">
        <v>83</v>
      </c>
      <c r="C12" s="89">
        <v>550.5</v>
      </c>
      <c r="D12" s="89">
        <v>550.5</v>
      </c>
      <c r="E12" s="155">
        <f t="shared" si="0"/>
        <v>0</v>
      </c>
      <c r="F12" s="223" t="s">
        <v>906</v>
      </c>
      <c r="G12" s="248">
        <f t="shared" si="1"/>
        <v>100</v>
      </c>
    </row>
    <row r="13" spans="1:7" ht="30" customHeight="1">
      <c r="A13" s="123">
        <v>2</v>
      </c>
      <c r="B13" s="200" t="s">
        <v>84</v>
      </c>
      <c r="C13" s="89">
        <v>200</v>
      </c>
      <c r="D13" s="89">
        <v>200</v>
      </c>
      <c r="E13" s="155">
        <f t="shared" si="0"/>
        <v>0</v>
      </c>
      <c r="F13" s="229" t="s">
        <v>618</v>
      </c>
      <c r="G13" s="248">
        <f t="shared" si="1"/>
        <v>100</v>
      </c>
    </row>
    <row r="14" spans="1:7" ht="19.5" customHeight="1">
      <c r="A14" s="123">
        <v>3</v>
      </c>
      <c r="B14" s="200" t="s">
        <v>85</v>
      </c>
      <c r="C14" s="89">
        <v>270</v>
      </c>
      <c r="D14" s="89">
        <v>270</v>
      </c>
      <c r="E14" s="155">
        <f t="shared" si="0"/>
        <v>0</v>
      </c>
      <c r="F14" s="229" t="s">
        <v>617</v>
      </c>
      <c r="G14" s="248">
        <f t="shared" si="1"/>
        <v>100</v>
      </c>
    </row>
    <row r="15" spans="1:7" ht="30" customHeight="1">
      <c r="A15" s="123">
        <v>4</v>
      </c>
      <c r="B15" s="200" t="s">
        <v>86</v>
      </c>
      <c r="C15" s="89">
        <v>560</v>
      </c>
      <c r="D15" s="89">
        <v>560</v>
      </c>
      <c r="E15" s="155">
        <f t="shared" si="0"/>
        <v>0</v>
      </c>
      <c r="F15" s="223" t="s">
        <v>902</v>
      </c>
      <c r="G15" s="248">
        <f t="shared" si="1"/>
        <v>100</v>
      </c>
    </row>
    <row r="16" spans="1:7" ht="21.75" customHeight="1">
      <c r="A16" s="123">
        <v>5</v>
      </c>
      <c r="B16" s="200" t="s">
        <v>87</v>
      </c>
      <c r="C16" s="89">
        <v>200</v>
      </c>
      <c r="D16" s="89">
        <v>200</v>
      </c>
      <c r="E16" s="155">
        <f t="shared" si="0"/>
        <v>0</v>
      </c>
      <c r="F16" s="230" t="s">
        <v>901</v>
      </c>
      <c r="G16" s="248">
        <f t="shared" si="1"/>
        <v>100</v>
      </c>
    </row>
    <row r="17" spans="1:7" ht="48" customHeight="1">
      <c r="A17" s="123">
        <v>6</v>
      </c>
      <c r="B17" s="200" t="s">
        <v>397</v>
      </c>
      <c r="C17" s="89">
        <v>399</v>
      </c>
      <c r="D17" s="89">
        <v>399</v>
      </c>
      <c r="E17" s="155">
        <f t="shared" si="0"/>
        <v>0</v>
      </c>
      <c r="F17" s="223" t="s">
        <v>619</v>
      </c>
      <c r="G17" s="248">
        <f t="shared" si="1"/>
        <v>100</v>
      </c>
    </row>
    <row r="18" spans="1:7" ht="49.5" customHeight="1">
      <c r="A18" s="123">
        <v>7</v>
      </c>
      <c r="B18" s="200" t="s">
        <v>398</v>
      </c>
      <c r="C18" s="89">
        <v>251</v>
      </c>
      <c r="D18" s="89">
        <v>251</v>
      </c>
      <c r="E18" s="155">
        <f t="shared" si="0"/>
        <v>0</v>
      </c>
      <c r="F18" s="223" t="s">
        <v>620</v>
      </c>
      <c r="G18" s="248">
        <f t="shared" si="1"/>
        <v>100</v>
      </c>
    </row>
    <row r="19" spans="1:7" ht="45" customHeight="1">
      <c r="A19" s="123">
        <v>8</v>
      </c>
      <c r="B19" s="200" t="s">
        <v>91</v>
      </c>
      <c r="C19" s="89">
        <v>330</v>
      </c>
      <c r="D19" s="89">
        <v>330</v>
      </c>
      <c r="E19" s="155">
        <f t="shared" si="0"/>
        <v>0</v>
      </c>
      <c r="F19" s="223" t="s">
        <v>907</v>
      </c>
      <c r="G19" s="248">
        <f t="shared" si="1"/>
        <v>100</v>
      </c>
    </row>
    <row r="20" spans="1:7" ht="36.75" customHeight="1">
      <c r="A20" s="123">
        <v>9</v>
      </c>
      <c r="B20" s="201" t="s">
        <v>399</v>
      </c>
      <c r="C20" s="89">
        <v>120</v>
      </c>
      <c r="D20" s="89">
        <v>120</v>
      </c>
      <c r="E20" s="155">
        <f t="shared" si="0"/>
        <v>0</v>
      </c>
      <c r="F20" s="223" t="s">
        <v>621</v>
      </c>
      <c r="G20" s="248">
        <f t="shared" si="1"/>
        <v>100</v>
      </c>
    </row>
    <row r="21" spans="1:7" ht="33.75" customHeight="1">
      <c r="A21" s="123">
        <v>10</v>
      </c>
      <c r="B21" s="201" t="s">
        <v>92</v>
      </c>
      <c r="C21" s="89">
        <v>200</v>
      </c>
      <c r="D21" s="89">
        <v>200</v>
      </c>
      <c r="E21" s="155">
        <f t="shared" si="0"/>
        <v>0</v>
      </c>
      <c r="F21" s="223" t="s">
        <v>622</v>
      </c>
      <c r="G21" s="248">
        <f t="shared" si="1"/>
        <v>100</v>
      </c>
    </row>
    <row r="22" spans="1:7" ht="50.25" customHeight="1">
      <c r="A22" s="123">
        <v>11</v>
      </c>
      <c r="B22" s="199" t="s">
        <v>908</v>
      </c>
      <c r="C22" s="89">
        <v>150</v>
      </c>
      <c r="D22" s="89">
        <v>150</v>
      </c>
      <c r="E22" s="155">
        <f t="shared" si="0"/>
        <v>0</v>
      </c>
      <c r="F22" s="223" t="s">
        <v>903</v>
      </c>
      <c r="G22" s="248">
        <f t="shared" si="1"/>
        <v>100</v>
      </c>
    </row>
    <row r="23" spans="1:7" ht="48.75" customHeight="1">
      <c r="A23" s="123">
        <v>12</v>
      </c>
      <c r="B23" s="200" t="s">
        <v>94</v>
      </c>
      <c r="C23" s="89">
        <v>150</v>
      </c>
      <c r="D23" s="89">
        <v>150</v>
      </c>
      <c r="E23" s="155">
        <f t="shared" si="0"/>
        <v>0</v>
      </c>
      <c r="F23" s="223" t="s">
        <v>623</v>
      </c>
      <c r="G23" s="248">
        <f t="shared" si="1"/>
        <v>100</v>
      </c>
    </row>
    <row r="24" spans="1:7" ht="66" customHeight="1">
      <c r="A24" s="123">
        <v>13</v>
      </c>
      <c r="B24" s="200" t="s">
        <v>95</v>
      </c>
      <c r="C24" s="89">
        <v>785</v>
      </c>
      <c r="D24" s="89">
        <v>785</v>
      </c>
      <c r="E24" s="155">
        <f t="shared" si="0"/>
        <v>0</v>
      </c>
      <c r="F24" s="223" t="s">
        <v>650</v>
      </c>
      <c r="G24" s="248">
        <f t="shared" si="1"/>
        <v>100</v>
      </c>
    </row>
    <row r="25" spans="1:7" ht="63" customHeight="1">
      <c r="A25" s="123">
        <v>14</v>
      </c>
      <c r="B25" s="200" t="s">
        <v>400</v>
      </c>
      <c r="C25" s="89">
        <v>400</v>
      </c>
      <c r="D25" s="89">
        <v>400</v>
      </c>
      <c r="E25" s="155">
        <f t="shared" si="0"/>
        <v>0</v>
      </c>
      <c r="F25" s="223" t="s">
        <v>651</v>
      </c>
      <c r="G25" s="248">
        <f t="shared" si="1"/>
        <v>100</v>
      </c>
    </row>
    <row r="26" spans="1:7" ht="54" customHeight="1">
      <c r="A26" s="123">
        <v>15</v>
      </c>
      <c r="B26" s="224" t="s">
        <v>589</v>
      </c>
      <c r="C26" s="9">
        <v>201.1</v>
      </c>
      <c r="D26" s="89">
        <v>201.1</v>
      </c>
      <c r="E26" s="155">
        <f t="shared" si="0"/>
        <v>0</v>
      </c>
      <c r="F26" s="223" t="s">
        <v>653</v>
      </c>
      <c r="G26" s="248">
        <f t="shared" si="1"/>
        <v>100</v>
      </c>
    </row>
    <row r="27" spans="1:7" ht="45" customHeight="1">
      <c r="A27" s="123">
        <v>16</v>
      </c>
      <c r="B27" s="200" t="s">
        <v>96</v>
      </c>
      <c r="C27" s="89">
        <v>260</v>
      </c>
      <c r="D27" s="89">
        <v>260</v>
      </c>
      <c r="E27" s="155">
        <f t="shared" si="0"/>
        <v>0</v>
      </c>
      <c r="F27" s="223" t="s">
        <v>652</v>
      </c>
      <c r="G27" s="248">
        <f t="shared" si="1"/>
        <v>100</v>
      </c>
    </row>
    <row r="28" spans="1:7" ht="22.5" customHeight="1">
      <c r="A28" s="312" t="s">
        <v>4</v>
      </c>
      <c r="B28" s="296"/>
      <c r="C28" s="225">
        <v>8676.8</v>
      </c>
      <c r="D28" s="225">
        <f>SUM(D29:D31)</f>
        <v>8664.3</v>
      </c>
      <c r="E28" s="225">
        <f t="shared" si="0"/>
        <v>12.5</v>
      </c>
      <c r="F28" s="225"/>
      <c r="G28" s="249">
        <f t="shared" si="1"/>
        <v>99.8559376728748</v>
      </c>
    </row>
    <row r="29" spans="1:7" ht="67.5" customHeight="1">
      <c r="A29" s="123">
        <v>1</v>
      </c>
      <c r="B29" s="199" t="s">
        <v>503</v>
      </c>
      <c r="C29" s="89">
        <v>6614.8</v>
      </c>
      <c r="D29" s="89">
        <v>6613.4</v>
      </c>
      <c r="E29" s="155">
        <f t="shared" si="0"/>
        <v>1.4000000000005457</v>
      </c>
      <c r="F29" s="223" t="s">
        <v>605</v>
      </c>
      <c r="G29" s="248">
        <f t="shared" si="1"/>
        <v>99.97883533893692</v>
      </c>
    </row>
    <row r="30" spans="1:7" ht="32.25" customHeight="1">
      <c r="A30" s="123">
        <v>2</v>
      </c>
      <c r="B30" s="199" t="s">
        <v>74</v>
      </c>
      <c r="C30" s="89">
        <v>1062</v>
      </c>
      <c r="D30" s="89">
        <v>1062</v>
      </c>
      <c r="E30" s="155">
        <f t="shared" si="0"/>
        <v>0</v>
      </c>
      <c r="F30" s="223" t="s">
        <v>606</v>
      </c>
      <c r="G30" s="248">
        <f t="shared" si="1"/>
        <v>100</v>
      </c>
    </row>
    <row r="31" spans="1:7" ht="30.75" customHeight="1">
      <c r="A31" s="123">
        <v>3</v>
      </c>
      <c r="B31" s="199" t="s">
        <v>82</v>
      </c>
      <c r="C31" s="89">
        <v>1000</v>
      </c>
      <c r="D31" s="89">
        <v>988.9</v>
      </c>
      <c r="E31" s="155">
        <f t="shared" si="0"/>
        <v>11.100000000000023</v>
      </c>
      <c r="F31" s="223" t="s">
        <v>607</v>
      </c>
      <c r="G31" s="248">
        <f t="shared" si="1"/>
        <v>98.89</v>
      </c>
    </row>
    <row r="32" spans="1:7" ht="18.75" customHeight="1">
      <c r="A32" s="295" t="s">
        <v>5</v>
      </c>
      <c r="B32" s="296"/>
      <c r="C32" s="225">
        <v>4513</v>
      </c>
      <c r="D32" s="225">
        <f>SUM(D33:D50)</f>
        <v>4513</v>
      </c>
      <c r="E32" s="225">
        <f t="shared" si="0"/>
        <v>0</v>
      </c>
      <c r="F32" s="225"/>
      <c r="G32" s="249">
        <f t="shared" si="1"/>
        <v>100</v>
      </c>
    </row>
    <row r="33" spans="1:7" ht="31.5" customHeight="1">
      <c r="A33" s="123">
        <v>1</v>
      </c>
      <c r="B33" s="199" t="s">
        <v>415</v>
      </c>
      <c r="C33" s="89">
        <v>177.3</v>
      </c>
      <c r="D33" s="89">
        <v>177.3</v>
      </c>
      <c r="E33" s="155">
        <f t="shared" si="0"/>
        <v>0</v>
      </c>
      <c r="F33" s="223" t="s">
        <v>635</v>
      </c>
      <c r="G33" s="248">
        <f t="shared" si="1"/>
        <v>100</v>
      </c>
    </row>
    <row r="34" spans="1:7" ht="33" customHeight="1">
      <c r="A34" s="123">
        <v>2</v>
      </c>
      <c r="B34" s="199" t="s">
        <v>504</v>
      </c>
      <c r="C34" s="89">
        <v>226</v>
      </c>
      <c r="D34" s="89">
        <v>226</v>
      </c>
      <c r="E34" s="155">
        <f t="shared" si="0"/>
        <v>0</v>
      </c>
      <c r="F34" s="223" t="s">
        <v>635</v>
      </c>
      <c r="G34" s="248">
        <f t="shared" si="1"/>
        <v>100</v>
      </c>
    </row>
    <row r="35" spans="1:7" ht="21" customHeight="1">
      <c r="A35" s="123">
        <v>3</v>
      </c>
      <c r="B35" s="199" t="s">
        <v>97</v>
      </c>
      <c r="C35" s="89">
        <v>500</v>
      </c>
      <c r="D35" s="89">
        <v>500</v>
      </c>
      <c r="E35" s="155">
        <f t="shared" si="0"/>
        <v>0</v>
      </c>
      <c r="F35" s="223" t="s">
        <v>635</v>
      </c>
      <c r="G35" s="248">
        <f t="shared" si="1"/>
        <v>100</v>
      </c>
    </row>
    <row r="36" spans="1:7" ht="30" customHeight="1">
      <c r="A36" s="123">
        <v>4</v>
      </c>
      <c r="B36" s="199" t="s">
        <v>98</v>
      </c>
      <c r="C36" s="89">
        <v>200</v>
      </c>
      <c r="D36" s="89">
        <v>200</v>
      </c>
      <c r="E36" s="155">
        <f t="shared" si="0"/>
        <v>0</v>
      </c>
      <c r="F36" s="223" t="s">
        <v>635</v>
      </c>
      <c r="G36" s="248">
        <f t="shared" si="1"/>
        <v>100</v>
      </c>
    </row>
    <row r="37" spans="1:7" ht="32.25" customHeight="1">
      <c r="A37" s="123">
        <v>5</v>
      </c>
      <c r="B37" s="199" t="s">
        <v>99</v>
      </c>
      <c r="C37" s="89">
        <v>177</v>
      </c>
      <c r="D37" s="89">
        <v>177</v>
      </c>
      <c r="E37" s="155">
        <f t="shared" si="0"/>
        <v>0</v>
      </c>
      <c r="F37" s="223" t="s">
        <v>635</v>
      </c>
      <c r="G37" s="248">
        <f t="shared" si="1"/>
        <v>100</v>
      </c>
    </row>
    <row r="38" spans="1:7" ht="30.75" customHeight="1">
      <c r="A38" s="123">
        <v>6</v>
      </c>
      <c r="B38" s="199" t="s">
        <v>100</v>
      </c>
      <c r="C38" s="89">
        <v>300</v>
      </c>
      <c r="D38" s="89">
        <v>300</v>
      </c>
      <c r="E38" s="155">
        <f aca="true" t="shared" si="2" ref="E38:E67">C38-D38</f>
        <v>0</v>
      </c>
      <c r="F38" s="223" t="s">
        <v>635</v>
      </c>
      <c r="G38" s="248">
        <f aca="true" t="shared" si="3" ref="G38:G67">D38/C38*100</f>
        <v>100</v>
      </c>
    </row>
    <row r="39" spans="1:7" ht="31.5" customHeight="1">
      <c r="A39" s="123">
        <v>7</v>
      </c>
      <c r="B39" s="199" t="s">
        <v>101</v>
      </c>
      <c r="C39" s="89">
        <v>300</v>
      </c>
      <c r="D39" s="89">
        <v>300</v>
      </c>
      <c r="E39" s="155">
        <f t="shared" si="2"/>
        <v>0</v>
      </c>
      <c r="F39" s="223" t="s">
        <v>635</v>
      </c>
      <c r="G39" s="248">
        <f t="shared" si="3"/>
        <v>100</v>
      </c>
    </row>
    <row r="40" spans="1:7" ht="30.75" customHeight="1">
      <c r="A40" s="123">
        <v>8</v>
      </c>
      <c r="B40" s="199" t="s">
        <v>102</v>
      </c>
      <c r="C40" s="89">
        <v>300</v>
      </c>
      <c r="D40" s="89">
        <v>300</v>
      </c>
      <c r="E40" s="155">
        <f t="shared" si="2"/>
        <v>0</v>
      </c>
      <c r="F40" s="223" t="s">
        <v>635</v>
      </c>
      <c r="G40" s="248">
        <f t="shared" si="3"/>
        <v>100</v>
      </c>
    </row>
    <row r="41" spans="1:7" ht="33.75" customHeight="1">
      <c r="A41" s="123">
        <v>9</v>
      </c>
      <c r="B41" s="199" t="s">
        <v>103</v>
      </c>
      <c r="C41" s="89">
        <v>280</v>
      </c>
      <c r="D41" s="89">
        <v>280</v>
      </c>
      <c r="E41" s="155">
        <f t="shared" si="2"/>
        <v>0</v>
      </c>
      <c r="F41" s="223" t="s">
        <v>635</v>
      </c>
      <c r="G41" s="248">
        <f t="shared" si="3"/>
        <v>100</v>
      </c>
    </row>
    <row r="42" spans="1:7" ht="33.75" customHeight="1">
      <c r="A42" s="123">
        <v>10</v>
      </c>
      <c r="B42" s="199" t="s">
        <v>104</v>
      </c>
      <c r="C42" s="89">
        <v>300</v>
      </c>
      <c r="D42" s="89">
        <v>300</v>
      </c>
      <c r="E42" s="155">
        <f t="shared" si="2"/>
        <v>0</v>
      </c>
      <c r="F42" s="223" t="s">
        <v>635</v>
      </c>
      <c r="G42" s="248">
        <f t="shared" si="3"/>
        <v>100</v>
      </c>
    </row>
    <row r="43" spans="1:7" ht="30" customHeight="1">
      <c r="A43" s="123">
        <v>11</v>
      </c>
      <c r="B43" s="199" t="s">
        <v>105</v>
      </c>
      <c r="C43" s="89">
        <v>200</v>
      </c>
      <c r="D43" s="89">
        <v>200</v>
      </c>
      <c r="E43" s="155">
        <f t="shared" si="2"/>
        <v>0</v>
      </c>
      <c r="F43" s="223" t="s">
        <v>635</v>
      </c>
      <c r="G43" s="248">
        <f t="shared" si="3"/>
        <v>100</v>
      </c>
    </row>
    <row r="44" spans="1:7" ht="31.5" customHeight="1">
      <c r="A44" s="123">
        <v>12</v>
      </c>
      <c r="B44" s="199" t="s">
        <v>106</v>
      </c>
      <c r="C44" s="89">
        <v>300</v>
      </c>
      <c r="D44" s="89">
        <v>300</v>
      </c>
      <c r="E44" s="155">
        <f t="shared" si="2"/>
        <v>0</v>
      </c>
      <c r="F44" s="223" t="s">
        <v>635</v>
      </c>
      <c r="G44" s="248">
        <f t="shared" si="3"/>
        <v>100</v>
      </c>
    </row>
    <row r="45" spans="1:7" ht="33" customHeight="1">
      <c r="A45" s="123">
        <v>13</v>
      </c>
      <c r="B45" s="199" t="s">
        <v>107</v>
      </c>
      <c r="C45" s="89">
        <v>400</v>
      </c>
      <c r="D45" s="89">
        <v>400</v>
      </c>
      <c r="E45" s="155">
        <f t="shared" si="2"/>
        <v>0</v>
      </c>
      <c r="F45" s="223" t="s">
        <v>635</v>
      </c>
      <c r="G45" s="248">
        <f t="shared" si="3"/>
        <v>100</v>
      </c>
    </row>
    <row r="46" spans="1:7" ht="20.25" customHeight="1">
      <c r="A46" s="123">
        <v>14</v>
      </c>
      <c r="B46" s="199" t="s">
        <v>108</v>
      </c>
      <c r="C46" s="89">
        <v>200</v>
      </c>
      <c r="D46" s="89">
        <v>200</v>
      </c>
      <c r="E46" s="155">
        <f t="shared" si="2"/>
        <v>0</v>
      </c>
      <c r="F46" s="223" t="s">
        <v>635</v>
      </c>
      <c r="G46" s="248">
        <f t="shared" si="3"/>
        <v>100</v>
      </c>
    </row>
    <row r="47" spans="1:7" ht="18.75" customHeight="1">
      <c r="A47" s="123">
        <v>15</v>
      </c>
      <c r="B47" s="199" t="s">
        <v>109</v>
      </c>
      <c r="C47" s="89">
        <v>200</v>
      </c>
      <c r="D47" s="89">
        <v>200</v>
      </c>
      <c r="E47" s="155">
        <f t="shared" si="2"/>
        <v>0</v>
      </c>
      <c r="F47" s="223" t="s">
        <v>635</v>
      </c>
      <c r="G47" s="248">
        <f t="shared" si="3"/>
        <v>100</v>
      </c>
    </row>
    <row r="48" spans="1:7" ht="18" customHeight="1">
      <c r="A48" s="123">
        <v>16</v>
      </c>
      <c r="B48" s="199" t="s">
        <v>110</v>
      </c>
      <c r="C48" s="89">
        <v>200</v>
      </c>
      <c r="D48" s="89">
        <v>200</v>
      </c>
      <c r="E48" s="155">
        <f t="shared" si="2"/>
        <v>0</v>
      </c>
      <c r="F48" s="223" t="s">
        <v>635</v>
      </c>
      <c r="G48" s="248">
        <f t="shared" si="3"/>
        <v>100</v>
      </c>
    </row>
    <row r="49" spans="1:7" ht="20.25" customHeight="1">
      <c r="A49" s="123">
        <v>17</v>
      </c>
      <c r="B49" s="199" t="s">
        <v>111</v>
      </c>
      <c r="C49" s="89">
        <v>200</v>
      </c>
      <c r="D49" s="89">
        <v>200</v>
      </c>
      <c r="E49" s="155">
        <f t="shared" si="2"/>
        <v>0</v>
      </c>
      <c r="F49" s="223" t="s">
        <v>635</v>
      </c>
      <c r="G49" s="248">
        <f t="shared" si="3"/>
        <v>100</v>
      </c>
    </row>
    <row r="50" spans="1:7" ht="30" customHeight="1">
      <c r="A50" s="123">
        <v>18</v>
      </c>
      <c r="B50" s="199" t="s">
        <v>416</v>
      </c>
      <c r="C50" s="89">
        <v>52.7</v>
      </c>
      <c r="D50" s="89">
        <v>52.7</v>
      </c>
      <c r="E50" s="155">
        <f t="shared" si="2"/>
        <v>0</v>
      </c>
      <c r="F50" s="223" t="s">
        <v>635</v>
      </c>
      <c r="G50" s="248">
        <f t="shared" si="3"/>
        <v>100</v>
      </c>
    </row>
    <row r="51" spans="1:7" ht="21" customHeight="1">
      <c r="A51" s="297" t="s">
        <v>6</v>
      </c>
      <c r="B51" s="308"/>
      <c r="C51" s="225">
        <v>4173.2</v>
      </c>
      <c r="D51" s="225">
        <f>SUM(D52:D58)</f>
        <v>4173.2</v>
      </c>
      <c r="E51" s="225">
        <f t="shared" si="2"/>
        <v>0</v>
      </c>
      <c r="F51" s="225"/>
      <c r="G51" s="249">
        <f t="shared" si="3"/>
        <v>100</v>
      </c>
    </row>
    <row r="52" spans="1:7" ht="46.5" customHeight="1">
      <c r="A52" s="123">
        <v>1</v>
      </c>
      <c r="B52" s="202" t="s">
        <v>112</v>
      </c>
      <c r="C52" s="89">
        <v>779.6</v>
      </c>
      <c r="D52" s="89">
        <v>779.6</v>
      </c>
      <c r="E52" s="155">
        <f t="shared" si="2"/>
        <v>0</v>
      </c>
      <c r="F52" s="223" t="s">
        <v>677</v>
      </c>
      <c r="G52" s="248">
        <f t="shared" si="3"/>
        <v>100</v>
      </c>
    </row>
    <row r="53" spans="1:7" ht="34.5" customHeight="1">
      <c r="A53" s="123">
        <v>2</v>
      </c>
      <c r="B53" s="202" t="s">
        <v>113</v>
      </c>
      <c r="C53" s="89">
        <v>1011.8</v>
      </c>
      <c r="D53" s="89">
        <v>1011.8</v>
      </c>
      <c r="E53" s="155">
        <f t="shared" si="2"/>
        <v>0</v>
      </c>
      <c r="F53" s="223" t="s">
        <v>678</v>
      </c>
      <c r="G53" s="248">
        <f t="shared" si="3"/>
        <v>100</v>
      </c>
    </row>
    <row r="54" spans="1:7" ht="35.25" customHeight="1">
      <c r="A54" s="123">
        <v>3</v>
      </c>
      <c r="B54" s="202" t="s">
        <v>115</v>
      </c>
      <c r="C54" s="89">
        <v>250</v>
      </c>
      <c r="D54" s="89">
        <v>250</v>
      </c>
      <c r="E54" s="155">
        <f t="shared" si="2"/>
        <v>0</v>
      </c>
      <c r="F54" s="223" t="s">
        <v>679</v>
      </c>
      <c r="G54" s="248">
        <f t="shared" si="3"/>
        <v>100</v>
      </c>
    </row>
    <row r="55" spans="1:7" ht="30.75" customHeight="1">
      <c r="A55" s="123">
        <v>4</v>
      </c>
      <c r="B55" s="202" t="s">
        <v>114</v>
      </c>
      <c r="C55" s="89">
        <v>1560.6</v>
      </c>
      <c r="D55" s="89">
        <v>1560.6</v>
      </c>
      <c r="E55" s="155">
        <f t="shared" si="2"/>
        <v>0</v>
      </c>
      <c r="F55" s="223" t="s">
        <v>965</v>
      </c>
      <c r="G55" s="248">
        <f t="shared" si="3"/>
        <v>100</v>
      </c>
    </row>
    <row r="56" spans="1:7" ht="34.5" customHeight="1">
      <c r="A56" s="123">
        <v>5</v>
      </c>
      <c r="B56" s="205" t="s">
        <v>490</v>
      </c>
      <c r="C56" s="226">
        <v>398</v>
      </c>
      <c r="D56" s="226">
        <v>398</v>
      </c>
      <c r="E56" s="155">
        <f t="shared" si="2"/>
        <v>0</v>
      </c>
      <c r="F56" s="223" t="s">
        <v>680</v>
      </c>
      <c r="G56" s="248">
        <f t="shared" si="3"/>
        <v>100</v>
      </c>
    </row>
    <row r="57" spans="1:7" ht="37.5" customHeight="1">
      <c r="A57" s="123">
        <v>6</v>
      </c>
      <c r="B57" s="205" t="s">
        <v>491</v>
      </c>
      <c r="C57" s="203">
        <v>133.5</v>
      </c>
      <c r="D57" s="203">
        <v>133.5</v>
      </c>
      <c r="E57" s="155">
        <f t="shared" si="2"/>
        <v>0</v>
      </c>
      <c r="F57" s="223" t="s">
        <v>681</v>
      </c>
      <c r="G57" s="248">
        <f t="shared" si="3"/>
        <v>100</v>
      </c>
    </row>
    <row r="58" spans="1:7" ht="36.75" customHeight="1">
      <c r="A58" s="123">
        <v>7</v>
      </c>
      <c r="B58" s="205" t="s">
        <v>501</v>
      </c>
      <c r="C58" s="203">
        <v>39.7</v>
      </c>
      <c r="D58" s="203">
        <v>39.7</v>
      </c>
      <c r="E58" s="155">
        <f t="shared" si="2"/>
        <v>0</v>
      </c>
      <c r="F58" s="223" t="s">
        <v>682</v>
      </c>
      <c r="G58" s="248">
        <f t="shared" si="3"/>
        <v>100</v>
      </c>
    </row>
    <row r="59" spans="1:7" ht="23.25" customHeight="1">
      <c r="A59" s="295" t="s">
        <v>7</v>
      </c>
      <c r="B59" s="296"/>
      <c r="C59" s="225">
        <v>2725.9</v>
      </c>
      <c r="D59" s="225">
        <f>SUM(D60:D67)</f>
        <v>2725.9000000000005</v>
      </c>
      <c r="E59" s="225">
        <f t="shared" si="2"/>
        <v>0</v>
      </c>
      <c r="F59" s="225"/>
      <c r="G59" s="249">
        <f t="shared" si="3"/>
        <v>100.00000000000003</v>
      </c>
    </row>
    <row r="60" spans="1:7" ht="33">
      <c r="A60" s="123">
        <v>1</v>
      </c>
      <c r="B60" s="200" t="s">
        <v>116</v>
      </c>
      <c r="C60" s="89">
        <v>596.4</v>
      </c>
      <c r="D60" s="89">
        <v>596.4</v>
      </c>
      <c r="E60" s="155">
        <f t="shared" si="2"/>
        <v>0</v>
      </c>
      <c r="F60" s="223" t="s">
        <v>609</v>
      </c>
      <c r="G60" s="248">
        <f t="shared" si="3"/>
        <v>100</v>
      </c>
    </row>
    <row r="61" spans="1:7" ht="33">
      <c r="A61" s="123">
        <v>2</v>
      </c>
      <c r="B61" s="199" t="s">
        <v>529</v>
      </c>
      <c r="C61" s="89">
        <v>372.3</v>
      </c>
      <c r="D61" s="89">
        <v>372.3</v>
      </c>
      <c r="E61" s="155">
        <f t="shared" si="2"/>
        <v>0</v>
      </c>
      <c r="F61" s="223" t="s">
        <v>610</v>
      </c>
      <c r="G61" s="248">
        <f t="shared" si="3"/>
        <v>100</v>
      </c>
    </row>
    <row r="62" spans="1:7" ht="33.75" customHeight="1">
      <c r="A62" s="123">
        <v>3</v>
      </c>
      <c r="B62" s="199" t="s">
        <v>523</v>
      </c>
      <c r="C62" s="89">
        <v>158</v>
      </c>
      <c r="D62" s="89">
        <v>158</v>
      </c>
      <c r="E62" s="155">
        <f t="shared" si="2"/>
        <v>0</v>
      </c>
      <c r="F62" s="223" t="s">
        <v>611</v>
      </c>
      <c r="G62" s="248">
        <f t="shared" si="3"/>
        <v>100</v>
      </c>
    </row>
    <row r="63" spans="1:7" ht="46.5" customHeight="1">
      <c r="A63" s="123">
        <v>4</v>
      </c>
      <c r="B63" s="199" t="s">
        <v>117</v>
      </c>
      <c r="C63" s="9">
        <v>1369.9</v>
      </c>
      <c r="D63" s="89">
        <v>1369.9</v>
      </c>
      <c r="E63" s="155">
        <f t="shared" si="2"/>
        <v>0</v>
      </c>
      <c r="F63" s="223" t="s">
        <v>612</v>
      </c>
      <c r="G63" s="248">
        <f t="shared" si="3"/>
        <v>100</v>
      </c>
    </row>
    <row r="64" spans="1:7" ht="52.5" customHeight="1">
      <c r="A64" s="123">
        <v>5</v>
      </c>
      <c r="B64" s="204" t="s">
        <v>118</v>
      </c>
      <c r="C64" s="89">
        <v>40</v>
      </c>
      <c r="D64" s="89">
        <v>40</v>
      </c>
      <c r="E64" s="155">
        <f t="shared" si="2"/>
        <v>0</v>
      </c>
      <c r="F64" s="223" t="s">
        <v>613</v>
      </c>
      <c r="G64" s="248">
        <f t="shared" si="3"/>
        <v>100</v>
      </c>
    </row>
    <row r="65" spans="1:7" ht="47.25" customHeight="1">
      <c r="A65" s="123">
        <v>6</v>
      </c>
      <c r="B65" s="199" t="s">
        <v>524</v>
      </c>
      <c r="C65" s="89">
        <v>32</v>
      </c>
      <c r="D65" s="89">
        <v>32</v>
      </c>
      <c r="E65" s="155">
        <f t="shared" si="2"/>
        <v>0</v>
      </c>
      <c r="F65" s="223" t="s">
        <v>905</v>
      </c>
      <c r="G65" s="248">
        <f t="shared" si="3"/>
        <v>100</v>
      </c>
    </row>
    <row r="66" spans="1:7" ht="36" customHeight="1">
      <c r="A66" s="123">
        <v>7</v>
      </c>
      <c r="B66" s="199" t="s">
        <v>525</v>
      </c>
      <c r="C66" s="89">
        <v>77</v>
      </c>
      <c r="D66" s="89">
        <v>77</v>
      </c>
      <c r="E66" s="155">
        <f t="shared" si="2"/>
        <v>0</v>
      </c>
      <c r="F66" s="223" t="s">
        <v>614</v>
      </c>
      <c r="G66" s="248">
        <f t="shared" si="3"/>
        <v>100</v>
      </c>
    </row>
    <row r="67" spans="1:7" ht="68.25" customHeight="1">
      <c r="A67" s="227">
        <v>8</v>
      </c>
      <c r="B67" s="228" t="s">
        <v>581</v>
      </c>
      <c r="C67" s="9">
        <v>80.3</v>
      </c>
      <c r="D67" s="89">
        <v>80.3</v>
      </c>
      <c r="E67" s="155">
        <f t="shared" si="2"/>
        <v>0</v>
      </c>
      <c r="F67" s="223" t="s">
        <v>904</v>
      </c>
      <c r="G67" s="248">
        <f t="shared" si="3"/>
        <v>100</v>
      </c>
    </row>
    <row r="68" spans="1:7" ht="22.5" customHeight="1">
      <c r="A68" s="295" t="s">
        <v>8</v>
      </c>
      <c r="B68" s="296"/>
      <c r="C68" s="225">
        <v>9563.7</v>
      </c>
      <c r="D68" s="225">
        <f>SUM(D69:D74)</f>
        <v>9563.7</v>
      </c>
      <c r="E68" s="225">
        <f aca="true" t="shared" si="4" ref="E68:E99">C68-D68</f>
        <v>0</v>
      </c>
      <c r="F68" s="225"/>
      <c r="G68" s="249">
        <f aca="true" t="shared" si="5" ref="G68:G99">D68/C68*100</f>
        <v>100</v>
      </c>
    </row>
    <row r="69" spans="1:7" ht="69.75" customHeight="1">
      <c r="A69" s="123">
        <v>1</v>
      </c>
      <c r="B69" s="205" t="s">
        <v>70</v>
      </c>
      <c r="C69" s="89">
        <v>1800</v>
      </c>
      <c r="D69" s="89">
        <v>1800</v>
      </c>
      <c r="E69" s="155">
        <f t="shared" si="4"/>
        <v>0</v>
      </c>
      <c r="F69" s="223" t="s">
        <v>635</v>
      </c>
      <c r="G69" s="248">
        <f t="shared" si="5"/>
        <v>100</v>
      </c>
    </row>
    <row r="70" spans="1:7" ht="123" customHeight="1">
      <c r="A70" s="123">
        <v>2</v>
      </c>
      <c r="B70" s="205" t="s">
        <v>71</v>
      </c>
      <c r="C70" s="89">
        <v>159.6</v>
      </c>
      <c r="D70" s="89">
        <v>159.6</v>
      </c>
      <c r="E70" s="155">
        <f t="shared" si="4"/>
        <v>0</v>
      </c>
      <c r="F70" s="223" t="s">
        <v>635</v>
      </c>
      <c r="G70" s="248">
        <f t="shared" si="5"/>
        <v>100</v>
      </c>
    </row>
    <row r="71" spans="1:7" ht="65.25" customHeight="1">
      <c r="A71" s="123">
        <v>3</v>
      </c>
      <c r="B71" s="205" t="s">
        <v>72</v>
      </c>
      <c r="C71" s="89">
        <v>349.3</v>
      </c>
      <c r="D71" s="89">
        <v>349.3</v>
      </c>
      <c r="E71" s="155">
        <f t="shared" si="4"/>
        <v>0</v>
      </c>
      <c r="F71" s="223" t="s">
        <v>635</v>
      </c>
      <c r="G71" s="248">
        <f t="shared" si="5"/>
        <v>100</v>
      </c>
    </row>
    <row r="72" spans="1:7" ht="66" customHeight="1">
      <c r="A72" s="123">
        <v>4</v>
      </c>
      <c r="B72" s="205" t="s">
        <v>73</v>
      </c>
      <c r="C72" s="89">
        <v>255.5</v>
      </c>
      <c r="D72" s="89">
        <v>255.5</v>
      </c>
      <c r="E72" s="155">
        <f t="shared" si="4"/>
        <v>0</v>
      </c>
      <c r="F72" s="223" t="s">
        <v>647</v>
      </c>
      <c r="G72" s="248">
        <f t="shared" si="5"/>
        <v>100</v>
      </c>
    </row>
    <row r="73" spans="1:7" ht="46.5" customHeight="1">
      <c r="A73" s="123">
        <v>5</v>
      </c>
      <c r="B73" s="205" t="s">
        <v>505</v>
      </c>
      <c r="C73" s="89">
        <v>4884.3</v>
      </c>
      <c r="D73" s="89">
        <v>4884.3</v>
      </c>
      <c r="E73" s="155">
        <f t="shared" si="4"/>
        <v>0</v>
      </c>
      <c r="F73" s="223" t="s">
        <v>648</v>
      </c>
      <c r="G73" s="248">
        <f t="shared" si="5"/>
        <v>100</v>
      </c>
    </row>
    <row r="74" spans="1:7" ht="64.5" customHeight="1">
      <c r="A74" s="123">
        <v>6</v>
      </c>
      <c r="B74" s="205" t="s">
        <v>492</v>
      </c>
      <c r="C74" s="89">
        <v>2115</v>
      </c>
      <c r="D74" s="89">
        <v>2115</v>
      </c>
      <c r="E74" s="155">
        <f t="shared" si="4"/>
        <v>0</v>
      </c>
      <c r="F74" s="223" t="s">
        <v>649</v>
      </c>
      <c r="G74" s="248">
        <f t="shared" si="5"/>
        <v>100</v>
      </c>
    </row>
    <row r="75" spans="1:7" ht="21" customHeight="1">
      <c r="A75" s="309" t="s">
        <v>9</v>
      </c>
      <c r="B75" s="310"/>
      <c r="C75" s="225">
        <f>C76+C97+C114+C136+C175+C191</f>
        <v>58271</v>
      </c>
      <c r="D75" s="225">
        <f>D76+D97+D114+D136+D175+D191</f>
        <v>57985.08038000001</v>
      </c>
      <c r="E75" s="225">
        <f t="shared" si="4"/>
        <v>285.9196199999933</v>
      </c>
      <c r="F75" s="231"/>
      <c r="G75" s="249">
        <f t="shared" si="5"/>
        <v>99.50932776166533</v>
      </c>
    </row>
    <row r="76" spans="1:7" ht="19.5" customHeight="1">
      <c r="A76" s="123"/>
      <c r="B76" s="206" t="s">
        <v>10</v>
      </c>
      <c r="C76" s="155">
        <v>9711.9</v>
      </c>
      <c r="D76" s="155">
        <f>SUM(D77:D96)</f>
        <v>9622.98038</v>
      </c>
      <c r="E76" s="155">
        <f t="shared" si="4"/>
        <v>88.91961999999876</v>
      </c>
      <c r="F76" s="223"/>
      <c r="G76" s="248">
        <f t="shared" si="5"/>
        <v>99.0844261164139</v>
      </c>
    </row>
    <row r="77" spans="1:7" ht="48" customHeight="1">
      <c r="A77" s="123">
        <v>1</v>
      </c>
      <c r="B77" s="199" t="s">
        <v>272</v>
      </c>
      <c r="C77" s="283">
        <v>300</v>
      </c>
      <c r="D77" s="160">
        <v>300</v>
      </c>
      <c r="E77" s="155">
        <f t="shared" si="4"/>
        <v>0</v>
      </c>
      <c r="F77" s="242" t="s">
        <v>831</v>
      </c>
      <c r="G77" s="248">
        <f t="shared" si="5"/>
        <v>100</v>
      </c>
    </row>
    <row r="78" spans="1:7" ht="65.25" customHeight="1">
      <c r="A78" s="123">
        <v>2</v>
      </c>
      <c r="B78" s="199" t="s">
        <v>550</v>
      </c>
      <c r="C78" s="283">
        <v>200</v>
      </c>
      <c r="D78" s="160">
        <v>200</v>
      </c>
      <c r="E78" s="155">
        <f t="shared" si="4"/>
        <v>0</v>
      </c>
      <c r="F78" s="241" t="s">
        <v>832</v>
      </c>
      <c r="G78" s="248">
        <f t="shared" si="5"/>
        <v>100</v>
      </c>
    </row>
    <row r="79" spans="1:7" ht="52.5" customHeight="1">
      <c r="A79" s="123">
        <v>3</v>
      </c>
      <c r="B79" s="199" t="s">
        <v>273</v>
      </c>
      <c r="C79" s="283">
        <v>200</v>
      </c>
      <c r="D79" s="160">
        <v>200</v>
      </c>
      <c r="E79" s="155">
        <f t="shared" si="4"/>
        <v>0</v>
      </c>
      <c r="F79" s="242" t="s">
        <v>833</v>
      </c>
      <c r="G79" s="248">
        <f t="shared" si="5"/>
        <v>100</v>
      </c>
    </row>
    <row r="80" spans="1:7" ht="47.25" customHeight="1">
      <c r="A80" s="123">
        <v>4</v>
      </c>
      <c r="B80" s="199" t="s">
        <v>274</v>
      </c>
      <c r="C80" s="283">
        <v>100</v>
      </c>
      <c r="D80" s="160">
        <v>100</v>
      </c>
      <c r="E80" s="155">
        <f t="shared" si="4"/>
        <v>0</v>
      </c>
      <c r="F80" s="223" t="s">
        <v>834</v>
      </c>
      <c r="G80" s="248">
        <f t="shared" si="5"/>
        <v>100</v>
      </c>
    </row>
    <row r="81" spans="1:7" ht="66" customHeight="1">
      <c r="A81" s="123">
        <v>5</v>
      </c>
      <c r="B81" s="199" t="s">
        <v>506</v>
      </c>
      <c r="C81" s="186">
        <v>123.4</v>
      </c>
      <c r="D81" s="160">
        <v>123.4</v>
      </c>
      <c r="E81" s="155">
        <f t="shared" si="4"/>
        <v>0</v>
      </c>
      <c r="F81" s="223" t="s">
        <v>835</v>
      </c>
      <c r="G81" s="248">
        <f t="shared" si="5"/>
        <v>100</v>
      </c>
    </row>
    <row r="82" spans="1:7" ht="50.25" customHeight="1">
      <c r="A82" s="123">
        <v>6</v>
      </c>
      <c r="B82" s="199" t="s">
        <v>275</v>
      </c>
      <c r="C82" s="186">
        <v>300</v>
      </c>
      <c r="D82" s="160">
        <f>1.5+1+297.5</f>
        <v>300</v>
      </c>
      <c r="E82" s="155">
        <f t="shared" si="4"/>
        <v>0</v>
      </c>
      <c r="F82" s="223" t="s">
        <v>836</v>
      </c>
      <c r="G82" s="248">
        <f t="shared" si="5"/>
        <v>100</v>
      </c>
    </row>
    <row r="83" spans="1:7" ht="51" customHeight="1">
      <c r="A83" s="123">
        <v>7</v>
      </c>
      <c r="B83" s="199" t="s">
        <v>276</v>
      </c>
      <c r="C83" s="186">
        <v>750</v>
      </c>
      <c r="D83" s="160">
        <v>750</v>
      </c>
      <c r="E83" s="155">
        <f t="shared" si="4"/>
        <v>0</v>
      </c>
      <c r="F83" s="223" t="s">
        <v>837</v>
      </c>
      <c r="G83" s="248">
        <f t="shared" si="5"/>
        <v>100</v>
      </c>
    </row>
    <row r="84" spans="1:7" ht="54" customHeight="1">
      <c r="A84" s="123">
        <v>8</v>
      </c>
      <c r="B84" s="199" t="s">
        <v>277</v>
      </c>
      <c r="C84" s="186">
        <v>500</v>
      </c>
      <c r="D84" s="160">
        <f>358.5+12.38681+129.11319</f>
        <v>500</v>
      </c>
      <c r="E84" s="155">
        <f t="shared" si="4"/>
        <v>0</v>
      </c>
      <c r="F84" s="242" t="s">
        <v>838</v>
      </c>
      <c r="G84" s="248">
        <f t="shared" si="5"/>
        <v>100</v>
      </c>
    </row>
    <row r="85" spans="1:7" ht="48" customHeight="1">
      <c r="A85" s="123">
        <v>9</v>
      </c>
      <c r="B85" s="199" t="s">
        <v>278</v>
      </c>
      <c r="C85" s="186">
        <v>1250</v>
      </c>
      <c r="D85" s="160">
        <v>1250</v>
      </c>
      <c r="E85" s="155">
        <f t="shared" si="4"/>
        <v>0</v>
      </c>
      <c r="F85" s="242" t="s">
        <v>839</v>
      </c>
      <c r="G85" s="248">
        <f t="shared" si="5"/>
        <v>100</v>
      </c>
    </row>
    <row r="86" spans="1:7" ht="52.5" customHeight="1">
      <c r="A86" s="123">
        <v>10</v>
      </c>
      <c r="B86" s="199" t="s">
        <v>279</v>
      </c>
      <c r="C86" s="186">
        <v>750</v>
      </c>
      <c r="D86" s="160">
        <v>750</v>
      </c>
      <c r="E86" s="155">
        <f t="shared" si="4"/>
        <v>0</v>
      </c>
      <c r="F86" s="223" t="s">
        <v>840</v>
      </c>
      <c r="G86" s="248">
        <f t="shared" si="5"/>
        <v>100</v>
      </c>
    </row>
    <row r="87" spans="1:7" ht="51" customHeight="1">
      <c r="A87" s="123">
        <v>11</v>
      </c>
      <c r="B87" s="199" t="s">
        <v>281</v>
      </c>
      <c r="C87" s="186">
        <v>1500</v>
      </c>
      <c r="D87" s="160">
        <v>1500</v>
      </c>
      <c r="E87" s="155">
        <f t="shared" si="4"/>
        <v>0</v>
      </c>
      <c r="F87" s="242" t="s">
        <v>841</v>
      </c>
      <c r="G87" s="248">
        <f t="shared" si="5"/>
        <v>100</v>
      </c>
    </row>
    <row r="88" spans="1:7" ht="51" customHeight="1">
      <c r="A88" s="123">
        <v>12</v>
      </c>
      <c r="B88" s="199" t="s">
        <v>280</v>
      </c>
      <c r="C88" s="186">
        <v>750</v>
      </c>
      <c r="D88" s="160">
        <v>750</v>
      </c>
      <c r="E88" s="155">
        <f t="shared" si="4"/>
        <v>0</v>
      </c>
      <c r="F88" s="243" t="s">
        <v>842</v>
      </c>
      <c r="G88" s="248">
        <f t="shared" si="5"/>
        <v>100</v>
      </c>
    </row>
    <row r="89" spans="1:7" ht="21" customHeight="1">
      <c r="A89" s="123">
        <v>13</v>
      </c>
      <c r="B89" s="201" t="s">
        <v>282</v>
      </c>
      <c r="C89" s="186">
        <v>500</v>
      </c>
      <c r="D89" s="214">
        <f>4.94238+494.238</f>
        <v>499.18038</v>
      </c>
      <c r="E89" s="155">
        <f t="shared" si="4"/>
        <v>0.8196199999999862</v>
      </c>
      <c r="F89" s="244" t="s">
        <v>843</v>
      </c>
      <c r="G89" s="248">
        <f t="shared" si="5"/>
        <v>99.836076</v>
      </c>
    </row>
    <row r="90" spans="1:7" ht="24" customHeight="1">
      <c r="A90" s="123">
        <v>14</v>
      </c>
      <c r="B90" s="201" t="s">
        <v>283</v>
      </c>
      <c r="C90" s="186">
        <v>500</v>
      </c>
      <c r="D90" s="214">
        <v>427.3</v>
      </c>
      <c r="E90" s="155">
        <f t="shared" si="4"/>
        <v>72.69999999999999</v>
      </c>
      <c r="F90" s="223" t="s">
        <v>844</v>
      </c>
      <c r="G90" s="248">
        <f t="shared" si="5"/>
        <v>85.46000000000001</v>
      </c>
    </row>
    <row r="91" spans="1:7" ht="21" customHeight="1">
      <c r="A91" s="123">
        <v>15</v>
      </c>
      <c r="B91" s="199" t="s">
        <v>284</v>
      </c>
      <c r="C91" s="186">
        <v>500</v>
      </c>
      <c r="D91" s="214">
        <v>487.6</v>
      </c>
      <c r="E91" s="155">
        <f t="shared" si="4"/>
        <v>12.399999999999977</v>
      </c>
      <c r="F91" s="223" t="s">
        <v>845</v>
      </c>
      <c r="G91" s="248">
        <f t="shared" si="5"/>
        <v>97.52000000000001</v>
      </c>
    </row>
    <row r="92" spans="1:7" ht="21.75" customHeight="1">
      <c r="A92" s="123">
        <v>16</v>
      </c>
      <c r="B92" s="201" t="s">
        <v>285</v>
      </c>
      <c r="C92" s="186">
        <v>500</v>
      </c>
      <c r="D92" s="214">
        <v>497</v>
      </c>
      <c r="E92" s="155">
        <f t="shared" si="4"/>
        <v>3</v>
      </c>
      <c r="F92" s="223" t="s">
        <v>845</v>
      </c>
      <c r="G92" s="248">
        <f t="shared" si="5"/>
        <v>99.4</v>
      </c>
    </row>
    <row r="93" spans="1:7" ht="28.5" customHeight="1">
      <c r="A93" s="123">
        <v>17</v>
      </c>
      <c r="B93" s="199" t="s">
        <v>489</v>
      </c>
      <c r="C93" s="186">
        <v>100</v>
      </c>
      <c r="D93" s="214">
        <v>100</v>
      </c>
      <c r="E93" s="155">
        <f t="shared" si="4"/>
        <v>0</v>
      </c>
      <c r="F93" s="245" t="s">
        <v>846</v>
      </c>
      <c r="G93" s="248">
        <f t="shared" si="5"/>
        <v>100</v>
      </c>
    </row>
    <row r="94" spans="1:7" ht="19.5" customHeight="1">
      <c r="A94" s="123">
        <v>18</v>
      </c>
      <c r="B94" s="201" t="s">
        <v>530</v>
      </c>
      <c r="C94" s="186">
        <v>150</v>
      </c>
      <c r="D94" s="214">
        <v>150</v>
      </c>
      <c r="E94" s="155">
        <f t="shared" si="4"/>
        <v>0</v>
      </c>
      <c r="F94" s="245" t="s">
        <v>847</v>
      </c>
      <c r="G94" s="248">
        <f t="shared" si="5"/>
        <v>100</v>
      </c>
    </row>
    <row r="95" spans="1:7" ht="36" customHeight="1">
      <c r="A95" s="123">
        <v>19</v>
      </c>
      <c r="B95" s="199" t="s">
        <v>405</v>
      </c>
      <c r="C95" s="186">
        <v>350</v>
      </c>
      <c r="D95" s="214">
        <v>350</v>
      </c>
      <c r="E95" s="155">
        <f t="shared" si="4"/>
        <v>0</v>
      </c>
      <c r="F95" s="245" t="s">
        <v>848</v>
      </c>
      <c r="G95" s="248">
        <f t="shared" si="5"/>
        <v>100</v>
      </c>
    </row>
    <row r="96" spans="1:7" ht="48" customHeight="1">
      <c r="A96" s="123">
        <v>20</v>
      </c>
      <c r="B96" s="199" t="s">
        <v>502</v>
      </c>
      <c r="C96" s="186">
        <v>388.5</v>
      </c>
      <c r="D96" s="214">
        <v>388.5</v>
      </c>
      <c r="E96" s="155">
        <f t="shared" si="4"/>
        <v>0</v>
      </c>
      <c r="F96" s="244" t="s">
        <v>849</v>
      </c>
      <c r="G96" s="248">
        <f t="shared" si="5"/>
        <v>100</v>
      </c>
    </row>
    <row r="97" spans="1:7" ht="17.25">
      <c r="A97" s="123"/>
      <c r="B97" s="206" t="s">
        <v>11</v>
      </c>
      <c r="C97" s="155">
        <v>9711.8</v>
      </c>
      <c r="D97" s="155">
        <f>SUM(D98:D113)</f>
        <v>9686.2</v>
      </c>
      <c r="E97" s="155">
        <f t="shared" si="4"/>
        <v>25.599999999998545</v>
      </c>
      <c r="F97" s="223"/>
      <c r="G97" s="248">
        <f t="shared" si="5"/>
        <v>99.73640313845014</v>
      </c>
    </row>
    <row r="98" spans="1:7" ht="50.25" customHeight="1">
      <c r="A98" s="123">
        <v>1</v>
      </c>
      <c r="B98" s="199" t="s">
        <v>484</v>
      </c>
      <c r="C98" s="186">
        <v>300</v>
      </c>
      <c r="D98" s="186">
        <v>300</v>
      </c>
      <c r="E98" s="155">
        <f t="shared" si="4"/>
        <v>0</v>
      </c>
      <c r="F98" s="223" t="s">
        <v>850</v>
      </c>
      <c r="G98" s="248">
        <f t="shared" si="5"/>
        <v>100</v>
      </c>
    </row>
    <row r="99" spans="1:7" ht="21.75" customHeight="1">
      <c r="A99" s="123">
        <v>2</v>
      </c>
      <c r="B99" s="201" t="s">
        <v>286</v>
      </c>
      <c r="C99" s="186">
        <v>200</v>
      </c>
      <c r="D99" s="186">
        <v>185.3</v>
      </c>
      <c r="E99" s="155">
        <f t="shared" si="4"/>
        <v>14.699999999999989</v>
      </c>
      <c r="F99" s="223" t="s">
        <v>868</v>
      </c>
      <c r="G99" s="248">
        <f t="shared" si="5"/>
        <v>92.65</v>
      </c>
    </row>
    <row r="100" spans="1:8" ht="63.75" customHeight="1">
      <c r="A100" s="123">
        <v>3</v>
      </c>
      <c r="B100" s="207" t="s">
        <v>493</v>
      </c>
      <c r="C100" s="208">
        <v>250</v>
      </c>
      <c r="D100" s="208">
        <v>250</v>
      </c>
      <c r="E100" s="155">
        <f aca="true" t="shared" si="6" ref="E100:E131">C100-D100</f>
        <v>0</v>
      </c>
      <c r="F100" s="242" t="s">
        <v>851</v>
      </c>
      <c r="G100" s="248">
        <f aca="true" t="shared" si="7" ref="G100:G131">D100/C100*100</f>
        <v>100</v>
      </c>
      <c r="H100" s="2"/>
    </row>
    <row r="101" spans="1:8" ht="51" customHeight="1">
      <c r="A101" s="123">
        <v>4</v>
      </c>
      <c r="B101" s="199" t="s">
        <v>287</v>
      </c>
      <c r="C101" s="208">
        <v>400</v>
      </c>
      <c r="D101" s="208">
        <v>400</v>
      </c>
      <c r="E101" s="155">
        <f t="shared" si="6"/>
        <v>0</v>
      </c>
      <c r="F101" s="223" t="s">
        <v>852</v>
      </c>
      <c r="G101" s="248">
        <f t="shared" si="7"/>
        <v>100</v>
      </c>
      <c r="H101" s="2"/>
    </row>
    <row r="102" spans="1:7" ht="50.25" customHeight="1">
      <c r="A102" s="123">
        <v>5</v>
      </c>
      <c r="B102" s="199" t="s">
        <v>558</v>
      </c>
      <c r="C102" s="186">
        <v>5500</v>
      </c>
      <c r="D102" s="186">
        <v>5500</v>
      </c>
      <c r="E102" s="155">
        <f t="shared" si="6"/>
        <v>0</v>
      </c>
      <c r="F102" s="223" t="s">
        <v>853</v>
      </c>
      <c r="G102" s="248">
        <f t="shared" si="7"/>
        <v>100</v>
      </c>
    </row>
    <row r="103" spans="1:7" ht="49.5" customHeight="1">
      <c r="A103" s="123">
        <v>6</v>
      </c>
      <c r="B103" s="199" t="s">
        <v>288</v>
      </c>
      <c r="C103" s="186">
        <v>300</v>
      </c>
      <c r="D103" s="186">
        <v>300</v>
      </c>
      <c r="E103" s="155">
        <f t="shared" si="6"/>
        <v>0</v>
      </c>
      <c r="F103" s="223" t="s">
        <v>854</v>
      </c>
      <c r="G103" s="248">
        <f t="shared" si="7"/>
        <v>100</v>
      </c>
    </row>
    <row r="104" spans="1:7" ht="21" customHeight="1">
      <c r="A104" s="123">
        <v>7</v>
      </c>
      <c r="B104" s="199" t="s">
        <v>289</v>
      </c>
      <c r="C104" s="186">
        <v>200</v>
      </c>
      <c r="D104" s="186">
        <v>189.1</v>
      </c>
      <c r="E104" s="155">
        <f t="shared" si="6"/>
        <v>10.900000000000006</v>
      </c>
      <c r="F104" s="223" t="s">
        <v>855</v>
      </c>
      <c r="G104" s="248">
        <f t="shared" si="7"/>
        <v>94.55</v>
      </c>
    </row>
    <row r="105" spans="1:7" ht="51" customHeight="1">
      <c r="A105" s="123">
        <v>8</v>
      </c>
      <c r="B105" s="199" t="s">
        <v>290</v>
      </c>
      <c r="C105" s="186">
        <v>200</v>
      </c>
      <c r="D105" s="186">
        <v>200</v>
      </c>
      <c r="E105" s="155">
        <f t="shared" si="6"/>
        <v>0</v>
      </c>
      <c r="F105" s="223" t="s">
        <v>856</v>
      </c>
      <c r="G105" s="248">
        <f t="shared" si="7"/>
        <v>100</v>
      </c>
    </row>
    <row r="106" spans="1:7" ht="47.25" customHeight="1">
      <c r="A106" s="123">
        <v>9</v>
      </c>
      <c r="B106" s="199" t="s">
        <v>291</v>
      </c>
      <c r="C106" s="186">
        <v>200</v>
      </c>
      <c r="D106" s="186">
        <v>200</v>
      </c>
      <c r="E106" s="155">
        <f t="shared" si="6"/>
        <v>0</v>
      </c>
      <c r="F106" s="243" t="s">
        <v>857</v>
      </c>
      <c r="G106" s="248">
        <f t="shared" si="7"/>
        <v>100</v>
      </c>
    </row>
    <row r="107" spans="1:7" ht="56.25" customHeight="1">
      <c r="A107" s="123">
        <v>10</v>
      </c>
      <c r="B107" s="199" t="s">
        <v>292</v>
      </c>
      <c r="C107" s="186">
        <v>200</v>
      </c>
      <c r="D107" s="186">
        <v>200</v>
      </c>
      <c r="E107" s="155">
        <f t="shared" si="6"/>
        <v>0</v>
      </c>
      <c r="F107" s="242" t="s">
        <v>858</v>
      </c>
      <c r="G107" s="248">
        <f t="shared" si="7"/>
        <v>100</v>
      </c>
    </row>
    <row r="108" spans="1:7" ht="63.75" customHeight="1">
      <c r="A108" s="123">
        <v>11</v>
      </c>
      <c r="B108" s="199" t="s">
        <v>507</v>
      </c>
      <c r="C108" s="186">
        <v>250</v>
      </c>
      <c r="D108" s="186">
        <v>250</v>
      </c>
      <c r="E108" s="155">
        <f t="shared" si="6"/>
        <v>0</v>
      </c>
      <c r="F108" s="241" t="s">
        <v>859</v>
      </c>
      <c r="G108" s="248">
        <f t="shared" si="7"/>
        <v>100</v>
      </c>
    </row>
    <row r="109" spans="1:7" ht="51.75" customHeight="1">
      <c r="A109" s="123">
        <v>12</v>
      </c>
      <c r="B109" s="209" t="s">
        <v>485</v>
      </c>
      <c r="C109" s="186">
        <v>300</v>
      </c>
      <c r="D109" s="186">
        <v>300</v>
      </c>
      <c r="E109" s="155">
        <f t="shared" si="6"/>
        <v>0</v>
      </c>
      <c r="F109" s="246" t="s">
        <v>860</v>
      </c>
      <c r="G109" s="248">
        <f t="shared" si="7"/>
        <v>100</v>
      </c>
    </row>
    <row r="110" spans="1:7" ht="67.5" customHeight="1">
      <c r="A110" s="123">
        <v>13</v>
      </c>
      <c r="B110" s="199" t="s">
        <v>557</v>
      </c>
      <c r="C110" s="186">
        <v>260</v>
      </c>
      <c r="D110" s="186">
        <v>260</v>
      </c>
      <c r="E110" s="155">
        <f t="shared" si="6"/>
        <v>0</v>
      </c>
      <c r="F110" s="223" t="s">
        <v>861</v>
      </c>
      <c r="G110" s="248">
        <f t="shared" si="7"/>
        <v>100</v>
      </c>
    </row>
    <row r="111" spans="1:7" ht="35.25" customHeight="1">
      <c r="A111" s="123">
        <v>14</v>
      </c>
      <c r="B111" s="199" t="s">
        <v>293</v>
      </c>
      <c r="C111" s="186">
        <v>350</v>
      </c>
      <c r="D111" s="186">
        <v>350</v>
      </c>
      <c r="E111" s="155">
        <f t="shared" si="6"/>
        <v>0</v>
      </c>
      <c r="F111" s="247" t="s">
        <v>862</v>
      </c>
      <c r="G111" s="248">
        <f t="shared" si="7"/>
        <v>100</v>
      </c>
    </row>
    <row r="112" spans="1:7" ht="47.25" customHeight="1">
      <c r="A112" s="123">
        <v>15</v>
      </c>
      <c r="B112" s="199" t="s">
        <v>294</v>
      </c>
      <c r="C112" s="186">
        <v>300</v>
      </c>
      <c r="D112" s="186">
        <v>300</v>
      </c>
      <c r="E112" s="155">
        <f t="shared" si="6"/>
        <v>0</v>
      </c>
      <c r="F112" s="223" t="s">
        <v>863</v>
      </c>
      <c r="G112" s="248">
        <f t="shared" si="7"/>
        <v>100</v>
      </c>
    </row>
    <row r="113" spans="1:7" ht="49.5" customHeight="1">
      <c r="A113" s="123">
        <v>16</v>
      </c>
      <c r="B113" s="199" t="s">
        <v>486</v>
      </c>
      <c r="C113" s="186">
        <v>501.8</v>
      </c>
      <c r="D113" s="186">
        <v>501.8</v>
      </c>
      <c r="E113" s="155">
        <f t="shared" si="6"/>
        <v>0</v>
      </c>
      <c r="F113" s="223" t="s">
        <v>864</v>
      </c>
      <c r="G113" s="248">
        <f t="shared" si="7"/>
        <v>100</v>
      </c>
    </row>
    <row r="114" spans="1:7" ht="17.25">
      <c r="A114" s="123"/>
      <c r="B114" s="206" t="s">
        <v>12</v>
      </c>
      <c r="C114" s="155">
        <v>9711.8</v>
      </c>
      <c r="D114" s="155">
        <f>SUM(D115:D135)</f>
        <v>9711.8</v>
      </c>
      <c r="E114" s="155">
        <f t="shared" si="6"/>
        <v>0</v>
      </c>
      <c r="F114" s="223"/>
      <c r="G114" s="248">
        <f t="shared" si="7"/>
        <v>100</v>
      </c>
    </row>
    <row r="115" spans="1:7" ht="48" customHeight="1">
      <c r="A115" s="123">
        <v>1</v>
      </c>
      <c r="B115" s="199" t="s">
        <v>295</v>
      </c>
      <c r="C115" s="186">
        <v>500</v>
      </c>
      <c r="D115" s="186">
        <v>500</v>
      </c>
      <c r="E115" s="155">
        <f t="shared" si="6"/>
        <v>0</v>
      </c>
      <c r="F115" s="242" t="s">
        <v>865</v>
      </c>
      <c r="G115" s="248">
        <f t="shared" si="7"/>
        <v>100</v>
      </c>
    </row>
    <row r="116" spans="1:7" ht="46.5" customHeight="1">
      <c r="A116" s="123">
        <v>2</v>
      </c>
      <c r="B116" s="199" t="s">
        <v>298</v>
      </c>
      <c r="C116" s="186">
        <v>1000</v>
      </c>
      <c r="D116" s="186">
        <v>1000</v>
      </c>
      <c r="E116" s="155">
        <f t="shared" si="6"/>
        <v>0</v>
      </c>
      <c r="F116" s="242" t="s">
        <v>867</v>
      </c>
      <c r="G116" s="248">
        <f t="shared" si="7"/>
        <v>100</v>
      </c>
    </row>
    <row r="117" spans="1:7" ht="64.5" customHeight="1">
      <c r="A117" s="123">
        <v>3</v>
      </c>
      <c r="B117" s="199" t="s">
        <v>296</v>
      </c>
      <c r="C117" s="186">
        <v>1000</v>
      </c>
      <c r="D117" s="186">
        <v>1000</v>
      </c>
      <c r="E117" s="155">
        <f t="shared" si="6"/>
        <v>0</v>
      </c>
      <c r="F117" s="242" t="s">
        <v>866</v>
      </c>
      <c r="G117" s="248">
        <f t="shared" si="7"/>
        <v>100</v>
      </c>
    </row>
    <row r="118" spans="1:7" ht="64.5" customHeight="1">
      <c r="A118" s="123">
        <v>4</v>
      </c>
      <c r="B118" s="199" t="s">
        <v>299</v>
      </c>
      <c r="C118" s="186">
        <v>500</v>
      </c>
      <c r="D118" s="186">
        <v>500</v>
      </c>
      <c r="E118" s="155">
        <f t="shared" si="6"/>
        <v>0</v>
      </c>
      <c r="F118" s="242" t="s">
        <v>869</v>
      </c>
      <c r="G118" s="248">
        <f t="shared" si="7"/>
        <v>100</v>
      </c>
    </row>
    <row r="119" spans="1:7" ht="45.75" customHeight="1">
      <c r="A119" s="123">
        <v>5</v>
      </c>
      <c r="B119" s="199" t="s">
        <v>300</v>
      </c>
      <c r="C119" s="186">
        <v>500</v>
      </c>
      <c r="D119" s="186">
        <v>500</v>
      </c>
      <c r="E119" s="155">
        <f t="shared" si="6"/>
        <v>0</v>
      </c>
      <c r="F119" s="241" t="s">
        <v>870</v>
      </c>
      <c r="G119" s="248">
        <f t="shared" si="7"/>
        <v>100</v>
      </c>
    </row>
    <row r="120" spans="1:7" ht="47.25" customHeight="1">
      <c r="A120" s="123">
        <v>6</v>
      </c>
      <c r="B120" s="210" t="s">
        <v>297</v>
      </c>
      <c r="C120" s="186">
        <v>200</v>
      </c>
      <c r="D120" s="186">
        <v>200</v>
      </c>
      <c r="E120" s="155">
        <f t="shared" si="6"/>
        <v>0</v>
      </c>
      <c r="F120" s="242" t="s">
        <v>871</v>
      </c>
      <c r="G120" s="248">
        <f t="shared" si="7"/>
        <v>100</v>
      </c>
    </row>
    <row r="121" spans="1:7" ht="47.25" customHeight="1">
      <c r="A121" s="123">
        <v>7</v>
      </c>
      <c r="B121" s="210" t="s">
        <v>389</v>
      </c>
      <c r="C121" s="186">
        <v>300</v>
      </c>
      <c r="D121" s="186">
        <v>300</v>
      </c>
      <c r="E121" s="155">
        <f t="shared" si="6"/>
        <v>0</v>
      </c>
      <c r="F121" s="223" t="s">
        <v>856</v>
      </c>
      <c r="G121" s="248">
        <f t="shared" si="7"/>
        <v>100</v>
      </c>
    </row>
    <row r="122" spans="1:7" ht="54.75" customHeight="1">
      <c r="A122" s="123">
        <v>8</v>
      </c>
      <c r="B122" s="199" t="s">
        <v>301</v>
      </c>
      <c r="C122" s="186">
        <v>300</v>
      </c>
      <c r="D122" s="186">
        <v>300</v>
      </c>
      <c r="E122" s="155">
        <f t="shared" si="6"/>
        <v>0</v>
      </c>
      <c r="F122" s="223" t="s">
        <v>856</v>
      </c>
      <c r="G122" s="248">
        <f t="shared" si="7"/>
        <v>100</v>
      </c>
    </row>
    <row r="123" spans="1:7" ht="64.5" customHeight="1">
      <c r="A123" s="123">
        <v>9</v>
      </c>
      <c r="B123" s="199" t="s">
        <v>559</v>
      </c>
      <c r="C123" s="186">
        <v>370</v>
      </c>
      <c r="D123" s="186">
        <v>370</v>
      </c>
      <c r="E123" s="155">
        <f t="shared" si="6"/>
        <v>0</v>
      </c>
      <c r="F123" s="241" t="s">
        <v>872</v>
      </c>
      <c r="G123" s="248">
        <f t="shared" si="7"/>
        <v>100</v>
      </c>
    </row>
    <row r="124" spans="1:7" ht="48" customHeight="1">
      <c r="A124" s="123">
        <v>10</v>
      </c>
      <c r="B124" s="199" t="s">
        <v>302</v>
      </c>
      <c r="C124" s="186">
        <v>300</v>
      </c>
      <c r="D124" s="186">
        <v>300</v>
      </c>
      <c r="E124" s="155">
        <f t="shared" si="6"/>
        <v>0</v>
      </c>
      <c r="F124" s="246" t="s">
        <v>873</v>
      </c>
      <c r="G124" s="248">
        <f t="shared" si="7"/>
        <v>100</v>
      </c>
    </row>
    <row r="125" spans="1:7" ht="48" customHeight="1">
      <c r="A125" s="123">
        <v>11</v>
      </c>
      <c r="B125" s="199" t="s">
        <v>303</v>
      </c>
      <c r="C125" s="186">
        <v>120</v>
      </c>
      <c r="D125" s="186">
        <v>120</v>
      </c>
      <c r="E125" s="155">
        <f t="shared" si="6"/>
        <v>0</v>
      </c>
      <c r="F125" s="242" t="s">
        <v>874</v>
      </c>
      <c r="G125" s="248">
        <f t="shared" si="7"/>
        <v>100</v>
      </c>
    </row>
    <row r="126" spans="1:7" ht="51.75" customHeight="1">
      <c r="A126" s="123">
        <v>12</v>
      </c>
      <c r="B126" s="199" t="s">
        <v>304</v>
      </c>
      <c r="C126" s="186">
        <v>200</v>
      </c>
      <c r="D126" s="186">
        <v>200</v>
      </c>
      <c r="E126" s="155">
        <f t="shared" si="6"/>
        <v>0</v>
      </c>
      <c r="F126" s="242" t="s">
        <v>966</v>
      </c>
      <c r="G126" s="248">
        <f t="shared" si="7"/>
        <v>100</v>
      </c>
    </row>
    <row r="127" spans="1:7" ht="47.25" customHeight="1">
      <c r="A127" s="123">
        <v>13</v>
      </c>
      <c r="B127" s="199" t="s">
        <v>305</v>
      </c>
      <c r="C127" s="186">
        <v>125</v>
      </c>
      <c r="D127" s="186">
        <v>125</v>
      </c>
      <c r="E127" s="155">
        <f t="shared" si="6"/>
        <v>0</v>
      </c>
      <c r="F127" s="242" t="s">
        <v>875</v>
      </c>
      <c r="G127" s="248">
        <f t="shared" si="7"/>
        <v>100</v>
      </c>
    </row>
    <row r="128" spans="1:7" ht="50.25" customHeight="1">
      <c r="A128" s="123">
        <v>14</v>
      </c>
      <c r="B128" s="199" t="s">
        <v>306</v>
      </c>
      <c r="C128" s="186">
        <v>100</v>
      </c>
      <c r="D128" s="186">
        <v>100</v>
      </c>
      <c r="E128" s="155">
        <f t="shared" si="6"/>
        <v>0</v>
      </c>
      <c r="F128" s="223" t="s">
        <v>856</v>
      </c>
      <c r="G128" s="248">
        <f t="shared" si="7"/>
        <v>100</v>
      </c>
    </row>
    <row r="129" spans="1:7" ht="49.5" customHeight="1">
      <c r="A129" s="123">
        <v>15</v>
      </c>
      <c r="B129" s="199" t="s">
        <v>307</v>
      </c>
      <c r="C129" s="186">
        <v>375</v>
      </c>
      <c r="D129" s="186">
        <v>375</v>
      </c>
      <c r="E129" s="155">
        <f t="shared" si="6"/>
        <v>0</v>
      </c>
      <c r="F129" s="223" t="s">
        <v>876</v>
      </c>
      <c r="G129" s="248">
        <f t="shared" si="7"/>
        <v>100</v>
      </c>
    </row>
    <row r="130" spans="1:7" ht="50.25">
      <c r="A130" s="123">
        <v>16</v>
      </c>
      <c r="B130" s="199" t="s">
        <v>308</v>
      </c>
      <c r="C130" s="186">
        <v>171.8</v>
      </c>
      <c r="D130" s="186">
        <v>171.8</v>
      </c>
      <c r="E130" s="155">
        <f t="shared" si="6"/>
        <v>0</v>
      </c>
      <c r="F130" s="223" t="s">
        <v>876</v>
      </c>
      <c r="G130" s="248">
        <f t="shared" si="7"/>
        <v>100</v>
      </c>
    </row>
    <row r="131" spans="1:7" ht="55.5" customHeight="1">
      <c r="A131" s="123">
        <v>17</v>
      </c>
      <c r="B131" s="199" t="s">
        <v>487</v>
      </c>
      <c r="C131" s="186">
        <v>1000</v>
      </c>
      <c r="D131" s="186">
        <v>1000</v>
      </c>
      <c r="E131" s="155">
        <f t="shared" si="6"/>
        <v>0</v>
      </c>
      <c r="F131" s="223" t="s">
        <v>877</v>
      </c>
      <c r="G131" s="248">
        <f t="shared" si="7"/>
        <v>100</v>
      </c>
    </row>
    <row r="132" spans="1:7" ht="34.5" customHeight="1">
      <c r="A132" s="123">
        <v>18</v>
      </c>
      <c r="B132" s="199" t="s">
        <v>309</v>
      </c>
      <c r="C132" s="186">
        <v>300</v>
      </c>
      <c r="D132" s="186">
        <v>300</v>
      </c>
      <c r="E132" s="155">
        <f aca="true" t="shared" si="8" ref="E132:E163">C132-D132</f>
        <v>0</v>
      </c>
      <c r="F132" s="245" t="s">
        <v>878</v>
      </c>
      <c r="G132" s="248">
        <f aca="true" t="shared" si="9" ref="G132:G163">D132/C132*100</f>
        <v>100</v>
      </c>
    </row>
    <row r="133" spans="1:7" ht="48.75" customHeight="1">
      <c r="A133" s="123">
        <v>19</v>
      </c>
      <c r="B133" s="199" t="s">
        <v>367</v>
      </c>
      <c r="C133" s="186">
        <v>1000</v>
      </c>
      <c r="D133" s="186">
        <v>1000</v>
      </c>
      <c r="E133" s="155">
        <f t="shared" si="8"/>
        <v>0</v>
      </c>
      <c r="F133" s="242" t="s">
        <v>879</v>
      </c>
      <c r="G133" s="248">
        <f t="shared" si="9"/>
        <v>100</v>
      </c>
    </row>
    <row r="134" spans="1:7" ht="24" customHeight="1">
      <c r="A134" s="123">
        <v>20</v>
      </c>
      <c r="B134" s="199" t="s">
        <v>310</v>
      </c>
      <c r="C134" s="186">
        <v>1000</v>
      </c>
      <c r="D134" s="186">
        <v>1000</v>
      </c>
      <c r="E134" s="155">
        <f t="shared" si="8"/>
        <v>0</v>
      </c>
      <c r="F134" s="244" t="s">
        <v>880</v>
      </c>
      <c r="G134" s="248">
        <f t="shared" si="9"/>
        <v>100</v>
      </c>
    </row>
    <row r="135" spans="1:7" ht="30" customHeight="1">
      <c r="A135" s="123">
        <v>21</v>
      </c>
      <c r="B135" s="199" t="s">
        <v>311</v>
      </c>
      <c r="C135" s="186">
        <v>350</v>
      </c>
      <c r="D135" s="186">
        <v>350</v>
      </c>
      <c r="E135" s="155">
        <f t="shared" si="8"/>
        <v>0</v>
      </c>
      <c r="F135" s="223" t="s">
        <v>881</v>
      </c>
      <c r="G135" s="248">
        <f t="shared" si="9"/>
        <v>100</v>
      </c>
    </row>
    <row r="136" spans="1:7" ht="17.25">
      <c r="A136" s="123"/>
      <c r="B136" s="206" t="s">
        <v>13</v>
      </c>
      <c r="C136" s="155">
        <f>SUM(C137:C174)</f>
        <v>9711.9</v>
      </c>
      <c r="D136" s="155">
        <f>SUM(D137:D174)</f>
        <v>9689.9</v>
      </c>
      <c r="E136" s="155">
        <f t="shared" si="8"/>
        <v>22</v>
      </c>
      <c r="F136" s="223"/>
      <c r="G136" s="248">
        <f t="shared" si="9"/>
        <v>99.77347377958998</v>
      </c>
    </row>
    <row r="137" spans="1:7" ht="50.25" customHeight="1">
      <c r="A137" s="123">
        <v>1</v>
      </c>
      <c r="B137" s="199" t="s">
        <v>312</v>
      </c>
      <c r="C137" s="89">
        <v>150</v>
      </c>
      <c r="D137" s="89">
        <v>150</v>
      </c>
      <c r="E137" s="155">
        <f t="shared" si="8"/>
        <v>0</v>
      </c>
      <c r="F137" s="242" t="s">
        <v>882</v>
      </c>
      <c r="G137" s="248">
        <f t="shared" si="9"/>
        <v>100</v>
      </c>
    </row>
    <row r="138" spans="1:7" ht="45.75" customHeight="1">
      <c r="A138" s="123">
        <v>2</v>
      </c>
      <c r="B138" s="199" t="s">
        <v>313</v>
      </c>
      <c r="C138" s="89">
        <v>150</v>
      </c>
      <c r="D138" s="89">
        <v>150</v>
      </c>
      <c r="E138" s="155">
        <f t="shared" si="8"/>
        <v>0</v>
      </c>
      <c r="F138" s="242" t="s">
        <v>883</v>
      </c>
      <c r="G138" s="248">
        <f t="shared" si="9"/>
        <v>100</v>
      </c>
    </row>
    <row r="139" spans="1:7" ht="51.75" customHeight="1">
      <c r="A139" s="123">
        <v>3</v>
      </c>
      <c r="B139" s="199" t="s">
        <v>314</v>
      </c>
      <c r="C139" s="89">
        <v>150</v>
      </c>
      <c r="D139" s="89">
        <v>150</v>
      </c>
      <c r="E139" s="155">
        <f t="shared" si="8"/>
        <v>0</v>
      </c>
      <c r="F139" s="242" t="s">
        <v>884</v>
      </c>
      <c r="G139" s="248">
        <f t="shared" si="9"/>
        <v>100</v>
      </c>
    </row>
    <row r="140" spans="1:7" ht="49.5" customHeight="1">
      <c r="A140" s="123">
        <v>4</v>
      </c>
      <c r="B140" s="199" t="s">
        <v>315</v>
      </c>
      <c r="C140" s="89">
        <v>150</v>
      </c>
      <c r="D140" s="89">
        <v>150</v>
      </c>
      <c r="E140" s="155">
        <f t="shared" si="8"/>
        <v>0</v>
      </c>
      <c r="F140" s="242" t="s">
        <v>885</v>
      </c>
      <c r="G140" s="248">
        <f t="shared" si="9"/>
        <v>100</v>
      </c>
    </row>
    <row r="141" spans="1:7" ht="63" customHeight="1">
      <c r="A141" s="123">
        <v>5</v>
      </c>
      <c r="B141" s="199" t="s">
        <v>508</v>
      </c>
      <c r="C141" s="89">
        <v>150</v>
      </c>
      <c r="D141" s="89">
        <v>150</v>
      </c>
      <c r="E141" s="155">
        <f t="shared" si="8"/>
        <v>0</v>
      </c>
      <c r="F141" s="242" t="s">
        <v>886</v>
      </c>
      <c r="G141" s="248">
        <f t="shared" si="9"/>
        <v>100</v>
      </c>
    </row>
    <row r="142" spans="1:7" ht="48" customHeight="1">
      <c r="A142" s="123">
        <v>6</v>
      </c>
      <c r="B142" s="199" t="s">
        <v>316</v>
      </c>
      <c r="C142" s="89">
        <v>150</v>
      </c>
      <c r="D142" s="89">
        <v>150</v>
      </c>
      <c r="E142" s="155">
        <f t="shared" si="8"/>
        <v>0</v>
      </c>
      <c r="F142" s="242" t="s">
        <v>887</v>
      </c>
      <c r="G142" s="248">
        <f t="shared" si="9"/>
        <v>100</v>
      </c>
    </row>
    <row r="143" spans="1:7" ht="49.5" customHeight="1">
      <c r="A143" s="123">
        <v>7</v>
      </c>
      <c r="B143" s="199" t="s">
        <v>317</v>
      </c>
      <c r="C143" s="89">
        <v>150</v>
      </c>
      <c r="D143" s="89">
        <v>150</v>
      </c>
      <c r="E143" s="155">
        <f t="shared" si="8"/>
        <v>0</v>
      </c>
      <c r="F143" s="242" t="s">
        <v>888</v>
      </c>
      <c r="G143" s="248">
        <f t="shared" si="9"/>
        <v>100</v>
      </c>
    </row>
    <row r="144" spans="1:7" ht="48" customHeight="1">
      <c r="A144" s="123">
        <v>8</v>
      </c>
      <c r="B144" s="199" t="s">
        <v>318</v>
      </c>
      <c r="C144" s="89">
        <v>150</v>
      </c>
      <c r="D144" s="89">
        <v>150</v>
      </c>
      <c r="E144" s="155">
        <f t="shared" si="8"/>
        <v>0</v>
      </c>
      <c r="F144" s="242" t="s">
        <v>889</v>
      </c>
      <c r="G144" s="248">
        <f t="shared" si="9"/>
        <v>100</v>
      </c>
    </row>
    <row r="145" spans="1:7" ht="45.75" customHeight="1">
      <c r="A145" s="123">
        <v>9</v>
      </c>
      <c r="B145" s="199" t="s">
        <v>319</v>
      </c>
      <c r="C145" s="89">
        <v>150</v>
      </c>
      <c r="D145" s="89">
        <v>150</v>
      </c>
      <c r="E145" s="155">
        <f t="shared" si="8"/>
        <v>0</v>
      </c>
      <c r="F145" s="223" t="s">
        <v>890</v>
      </c>
      <c r="G145" s="248">
        <f t="shared" si="9"/>
        <v>100</v>
      </c>
    </row>
    <row r="146" spans="1:7" ht="52.5" customHeight="1">
      <c r="A146" s="123">
        <v>10</v>
      </c>
      <c r="B146" s="199" t="s">
        <v>320</v>
      </c>
      <c r="C146" s="89">
        <v>150</v>
      </c>
      <c r="D146" s="89">
        <v>150</v>
      </c>
      <c r="E146" s="155">
        <f t="shared" si="8"/>
        <v>0</v>
      </c>
      <c r="F146" s="242" t="s">
        <v>967</v>
      </c>
      <c r="G146" s="248">
        <f t="shared" si="9"/>
        <v>100</v>
      </c>
    </row>
    <row r="147" spans="1:7" ht="45.75" customHeight="1">
      <c r="A147" s="123">
        <v>11</v>
      </c>
      <c r="B147" s="199" t="s">
        <v>321</v>
      </c>
      <c r="C147" s="89">
        <v>150</v>
      </c>
      <c r="D147" s="89">
        <v>150</v>
      </c>
      <c r="E147" s="155">
        <f t="shared" si="8"/>
        <v>0</v>
      </c>
      <c r="F147" s="242" t="s">
        <v>891</v>
      </c>
      <c r="G147" s="248">
        <f t="shared" si="9"/>
        <v>100</v>
      </c>
    </row>
    <row r="148" spans="1:7" ht="49.5" customHeight="1">
      <c r="A148" s="123">
        <v>12</v>
      </c>
      <c r="B148" s="199" t="s">
        <v>322</v>
      </c>
      <c r="C148" s="89">
        <v>150</v>
      </c>
      <c r="D148" s="89">
        <v>150</v>
      </c>
      <c r="E148" s="155">
        <f t="shared" si="8"/>
        <v>0</v>
      </c>
      <c r="F148" s="242" t="s">
        <v>892</v>
      </c>
      <c r="G148" s="248">
        <f t="shared" si="9"/>
        <v>100</v>
      </c>
    </row>
    <row r="149" spans="1:7" ht="51.75" customHeight="1">
      <c r="A149" s="123">
        <v>13</v>
      </c>
      <c r="B149" s="199" t="s">
        <v>323</v>
      </c>
      <c r="C149" s="89">
        <v>150</v>
      </c>
      <c r="D149" s="89">
        <v>150</v>
      </c>
      <c r="E149" s="155">
        <f t="shared" si="8"/>
        <v>0</v>
      </c>
      <c r="F149" s="242" t="s">
        <v>893</v>
      </c>
      <c r="G149" s="248">
        <f t="shared" si="9"/>
        <v>100</v>
      </c>
    </row>
    <row r="150" spans="1:7" ht="49.5" customHeight="1">
      <c r="A150" s="123">
        <v>14</v>
      </c>
      <c r="B150" s="199" t="s">
        <v>324</v>
      </c>
      <c r="C150" s="89">
        <v>200</v>
      </c>
      <c r="D150" s="89">
        <v>200</v>
      </c>
      <c r="E150" s="155">
        <f t="shared" si="8"/>
        <v>0</v>
      </c>
      <c r="F150" s="242" t="s">
        <v>894</v>
      </c>
      <c r="G150" s="248">
        <f t="shared" si="9"/>
        <v>100</v>
      </c>
    </row>
    <row r="151" spans="1:7" ht="52.5" customHeight="1">
      <c r="A151" s="123">
        <v>15</v>
      </c>
      <c r="B151" s="199" t="s">
        <v>325</v>
      </c>
      <c r="C151" s="89">
        <v>100</v>
      </c>
      <c r="D151" s="89">
        <v>100</v>
      </c>
      <c r="E151" s="155">
        <f t="shared" si="8"/>
        <v>0</v>
      </c>
      <c r="F151" s="242" t="s">
        <v>895</v>
      </c>
      <c r="G151" s="248">
        <f t="shared" si="9"/>
        <v>100</v>
      </c>
    </row>
    <row r="152" spans="1:7" ht="48" customHeight="1">
      <c r="A152" s="123">
        <v>16</v>
      </c>
      <c r="B152" s="199" t="s">
        <v>326</v>
      </c>
      <c r="C152" s="89">
        <v>700</v>
      </c>
      <c r="D152" s="89">
        <v>700</v>
      </c>
      <c r="E152" s="155">
        <f t="shared" si="8"/>
        <v>0</v>
      </c>
      <c r="F152" s="242" t="s">
        <v>896</v>
      </c>
      <c r="G152" s="248">
        <f t="shared" si="9"/>
        <v>100</v>
      </c>
    </row>
    <row r="153" spans="1:7" ht="60" customHeight="1">
      <c r="A153" s="123">
        <v>17</v>
      </c>
      <c r="B153" s="199" t="s">
        <v>327</v>
      </c>
      <c r="C153" s="89">
        <v>300</v>
      </c>
      <c r="D153" s="89">
        <v>300</v>
      </c>
      <c r="E153" s="155">
        <f t="shared" si="8"/>
        <v>0</v>
      </c>
      <c r="F153" s="223" t="s">
        <v>897</v>
      </c>
      <c r="G153" s="248">
        <f t="shared" si="9"/>
        <v>100</v>
      </c>
    </row>
    <row r="154" spans="1:7" ht="61.5" customHeight="1">
      <c r="A154" s="123">
        <v>18</v>
      </c>
      <c r="B154" s="199" t="s">
        <v>328</v>
      </c>
      <c r="C154" s="89">
        <v>300</v>
      </c>
      <c r="D154" s="89">
        <v>300</v>
      </c>
      <c r="E154" s="155">
        <f t="shared" si="8"/>
        <v>0</v>
      </c>
      <c r="F154" s="247" t="s">
        <v>968</v>
      </c>
      <c r="G154" s="248">
        <f t="shared" si="9"/>
        <v>100</v>
      </c>
    </row>
    <row r="155" spans="1:7" ht="48" customHeight="1">
      <c r="A155" s="123">
        <v>19</v>
      </c>
      <c r="B155" s="199" t="s">
        <v>329</v>
      </c>
      <c r="C155" s="89">
        <v>300</v>
      </c>
      <c r="D155" s="89">
        <v>300</v>
      </c>
      <c r="E155" s="155">
        <f t="shared" si="8"/>
        <v>0</v>
      </c>
      <c r="F155" s="223" t="s">
        <v>898</v>
      </c>
      <c r="G155" s="248">
        <f t="shared" si="9"/>
        <v>100</v>
      </c>
    </row>
    <row r="156" spans="1:7" ht="68.25" customHeight="1">
      <c r="A156" s="123">
        <v>20</v>
      </c>
      <c r="B156" s="199" t="s">
        <v>330</v>
      </c>
      <c r="C156" s="89">
        <v>300</v>
      </c>
      <c r="D156" s="89">
        <v>300</v>
      </c>
      <c r="E156" s="155">
        <f t="shared" si="8"/>
        <v>0</v>
      </c>
      <c r="F156" s="242" t="s">
        <v>899</v>
      </c>
      <c r="G156" s="248">
        <f t="shared" si="9"/>
        <v>100</v>
      </c>
    </row>
    <row r="157" spans="1:7" ht="69" customHeight="1">
      <c r="A157" s="123">
        <v>21</v>
      </c>
      <c r="B157" s="199" t="s">
        <v>331</v>
      </c>
      <c r="C157" s="89">
        <v>1000</v>
      </c>
      <c r="D157" s="89">
        <v>1000</v>
      </c>
      <c r="E157" s="155">
        <f t="shared" si="8"/>
        <v>0</v>
      </c>
      <c r="F157" s="241" t="s">
        <v>900</v>
      </c>
      <c r="G157" s="248">
        <f t="shared" si="9"/>
        <v>100</v>
      </c>
    </row>
    <row r="158" spans="1:7" ht="46.5" customHeight="1">
      <c r="A158" s="123">
        <v>22</v>
      </c>
      <c r="B158" s="199" t="s">
        <v>560</v>
      </c>
      <c r="C158" s="89">
        <v>500</v>
      </c>
      <c r="D158" s="89">
        <v>500</v>
      </c>
      <c r="E158" s="155">
        <f t="shared" si="8"/>
        <v>0</v>
      </c>
      <c r="F158" s="241" t="s">
        <v>916</v>
      </c>
      <c r="G158" s="248">
        <f t="shared" si="9"/>
        <v>100</v>
      </c>
    </row>
    <row r="159" spans="1:7" ht="51" customHeight="1">
      <c r="A159" s="123">
        <v>23</v>
      </c>
      <c r="B159" s="199" t="s">
        <v>582</v>
      </c>
      <c r="C159" s="9">
        <v>1136.9</v>
      </c>
      <c r="D159" s="9">
        <v>1136.9</v>
      </c>
      <c r="E159" s="155">
        <f t="shared" si="8"/>
        <v>0</v>
      </c>
      <c r="F159" s="223" t="s">
        <v>917</v>
      </c>
      <c r="G159" s="248">
        <f t="shared" si="9"/>
        <v>100</v>
      </c>
    </row>
    <row r="160" spans="1:7" ht="51" customHeight="1">
      <c r="A160" s="123">
        <v>24</v>
      </c>
      <c r="B160" s="199" t="s">
        <v>333</v>
      </c>
      <c r="C160" s="89">
        <v>300</v>
      </c>
      <c r="D160" s="89">
        <v>300</v>
      </c>
      <c r="E160" s="155">
        <f t="shared" si="8"/>
        <v>0</v>
      </c>
      <c r="F160" s="223" t="s">
        <v>918</v>
      </c>
      <c r="G160" s="248">
        <f t="shared" si="9"/>
        <v>100</v>
      </c>
    </row>
    <row r="161" spans="1:7" ht="48.75" customHeight="1">
      <c r="A161" s="123">
        <v>25</v>
      </c>
      <c r="B161" s="199" t="s">
        <v>334</v>
      </c>
      <c r="C161" s="89">
        <v>250</v>
      </c>
      <c r="D161" s="89">
        <v>250</v>
      </c>
      <c r="E161" s="155">
        <f t="shared" si="8"/>
        <v>0</v>
      </c>
      <c r="F161" s="223" t="s">
        <v>919</v>
      </c>
      <c r="G161" s="248">
        <f t="shared" si="9"/>
        <v>100</v>
      </c>
    </row>
    <row r="162" spans="1:7" ht="63.75" customHeight="1">
      <c r="A162" s="123">
        <v>26</v>
      </c>
      <c r="B162" s="199" t="s">
        <v>335</v>
      </c>
      <c r="C162" s="89">
        <v>300</v>
      </c>
      <c r="D162" s="89">
        <v>300</v>
      </c>
      <c r="E162" s="155">
        <f t="shared" si="8"/>
        <v>0</v>
      </c>
      <c r="F162" s="243" t="s">
        <v>920</v>
      </c>
      <c r="G162" s="248">
        <f t="shared" si="9"/>
        <v>100</v>
      </c>
    </row>
    <row r="163" spans="1:7" ht="48.75" customHeight="1">
      <c r="A163" s="123">
        <v>27</v>
      </c>
      <c r="B163" s="199" t="s">
        <v>336</v>
      </c>
      <c r="C163" s="89">
        <v>500</v>
      </c>
      <c r="D163" s="89">
        <v>500</v>
      </c>
      <c r="E163" s="155">
        <f t="shared" si="8"/>
        <v>0</v>
      </c>
      <c r="F163" s="223" t="s">
        <v>921</v>
      </c>
      <c r="G163" s="248">
        <f t="shared" si="9"/>
        <v>100</v>
      </c>
    </row>
    <row r="164" spans="1:7" ht="65.25" customHeight="1">
      <c r="A164" s="123">
        <v>28</v>
      </c>
      <c r="B164" s="199" t="s">
        <v>337</v>
      </c>
      <c r="C164" s="89">
        <v>45</v>
      </c>
      <c r="D164" s="89">
        <v>45</v>
      </c>
      <c r="E164" s="155">
        <f>C164-D164</f>
        <v>0</v>
      </c>
      <c r="F164" s="223" t="s">
        <v>922</v>
      </c>
      <c r="G164" s="248">
        <f aca="true" t="shared" si="10" ref="G164:G171">D164/C164*100</f>
        <v>100</v>
      </c>
    </row>
    <row r="165" spans="1:7" ht="64.5" customHeight="1">
      <c r="A165" s="123">
        <v>29</v>
      </c>
      <c r="B165" s="199" t="s">
        <v>338</v>
      </c>
      <c r="C165" s="89">
        <v>45</v>
      </c>
      <c r="D165" s="89">
        <v>45</v>
      </c>
      <c r="E165" s="155">
        <f>C165-D165</f>
        <v>0</v>
      </c>
      <c r="F165" s="223" t="s">
        <v>923</v>
      </c>
      <c r="G165" s="248">
        <f t="shared" si="10"/>
        <v>100</v>
      </c>
    </row>
    <row r="166" spans="1:7" ht="61.5" customHeight="1">
      <c r="A166" s="123">
        <v>30</v>
      </c>
      <c r="B166" s="199" t="s">
        <v>339</v>
      </c>
      <c r="C166" s="89">
        <v>45</v>
      </c>
      <c r="D166" s="89">
        <v>45</v>
      </c>
      <c r="E166" s="155">
        <f>C166-D166</f>
        <v>0</v>
      </c>
      <c r="F166" s="245" t="s">
        <v>924</v>
      </c>
      <c r="G166" s="248">
        <f t="shared" si="10"/>
        <v>100</v>
      </c>
    </row>
    <row r="167" spans="1:7" ht="48.75" customHeight="1">
      <c r="A167" s="123">
        <v>31</v>
      </c>
      <c r="B167" s="199" t="s">
        <v>340</v>
      </c>
      <c r="C167" s="89">
        <v>40</v>
      </c>
      <c r="D167" s="89">
        <v>40</v>
      </c>
      <c r="E167" s="155">
        <f>C167-D167</f>
        <v>0</v>
      </c>
      <c r="F167" s="223" t="s">
        <v>925</v>
      </c>
      <c r="G167" s="248">
        <f t="shared" si="10"/>
        <v>100</v>
      </c>
    </row>
    <row r="168" spans="1:7" ht="21.75" customHeight="1">
      <c r="A168" s="123">
        <v>32</v>
      </c>
      <c r="B168" s="199" t="s">
        <v>342</v>
      </c>
      <c r="C168" s="89">
        <v>150</v>
      </c>
      <c r="D168" s="89">
        <v>144</v>
      </c>
      <c r="E168" s="155">
        <f aca="true" t="shared" si="11" ref="E168:E173">C168-D168</f>
        <v>6</v>
      </c>
      <c r="F168" s="223" t="s">
        <v>844</v>
      </c>
      <c r="G168" s="248">
        <f t="shared" si="10"/>
        <v>96</v>
      </c>
    </row>
    <row r="169" spans="1:7" ht="23.25" customHeight="1">
      <c r="A169" s="123">
        <v>33</v>
      </c>
      <c r="B169" s="199" t="s">
        <v>343</v>
      </c>
      <c r="C169" s="89">
        <v>150</v>
      </c>
      <c r="D169" s="89">
        <v>144</v>
      </c>
      <c r="E169" s="155">
        <f t="shared" si="11"/>
        <v>6</v>
      </c>
      <c r="F169" s="223" t="s">
        <v>844</v>
      </c>
      <c r="G169" s="248">
        <f t="shared" si="10"/>
        <v>96</v>
      </c>
    </row>
    <row r="170" spans="1:7" ht="21.75" customHeight="1">
      <c r="A170" s="123">
        <v>34</v>
      </c>
      <c r="B170" s="199" t="s">
        <v>344</v>
      </c>
      <c r="C170" s="89">
        <v>100</v>
      </c>
      <c r="D170" s="89">
        <v>96</v>
      </c>
      <c r="E170" s="155">
        <f t="shared" si="11"/>
        <v>4</v>
      </c>
      <c r="F170" s="223" t="s">
        <v>844</v>
      </c>
      <c r="G170" s="248">
        <f t="shared" si="10"/>
        <v>96</v>
      </c>
    </row>
    <row r="171" spans="1:7" ht="33">
      <c r="A171" s="123">
        <v>35</v>
      </c>
      <c r="B171" s="199" t="s">
        <v>345</v>
      </c>
      <c r="C171" s="89">
        <v>150</v>
      </c>
      <c r="D171" s="89">
        <v>144</v>
      </c>
      <c r="E171" s="155">
        <f t="shared" si="11"/>
        <v>6</v>
      </c>
      <c r="F171" s="223" t="s">
        <v>844</v>
      </c>
      <c r="G171" s="248">
        <f t="shared" si="10"/>
        <v>96</v>
      </c>
    </row>
    <row r="172" spans="1:7" ht="22.5" customHeight="1">
      <c r="A172" s="123">
        <v>36</v>
      </c>
      <c r="B172" s="199" t="s">
        <v>348</v>
      </c>
      <c r="C172" s="89">
        <v>400</v>
      </c>
      <c r="D172" s="89">
        <v>400</v>
      </c>
      <c r="E172" s="155">
        <f t="shared" si="11"/>
        <v>0</v>
      </c>
      <c r="F172" s="284" t="s">
        <v>926</v>
      </c>
      <c r="G172" s="248">
        <f>D172/C172*100</f>
        <v>100</v>
      </c>
    </row>
    <row r="173" spans="1:7" ht="48.75" customHeight="1">
      <c r="A173" s="123">
        <v>37</v>
      </c>
      <c r="B173" s="199" t="s">
        <v>349</v>
      </c>
      <c r="C173" s="89">
        <v>300</v>
      </c>
      <c r="D173" s="89">
        <v>300</v>
      </c>
      <c r="E173" s="155">
        <f t="shared" si="11"/>
        <v>0</v>
      </c>
      <c r="F173" s="245" t="s">
        <v>927</v>
      </c>
      <c r="G173" s="248">
        <f>D173/C173*100</f>
        <v>100</v>
      </c>
    </row>
    <row r="174" spans="1:7" ht="63.75" customHeight="1">
      <c r="A174" s="123">
        <v>38</v>
      </c>
      <c r="B174" s="199" t="s">
        <v>409</v>
      </c>
      <c r="C174" s="89">
        <v>150</v>
      </c>
      <c r="D174" s="89">
        <v>150</v>
      </c>
      <c r="E174" s="155">
        <f aca="true" t="shared" si="12" ref="E174:E192">C174-D174</f>
        <v>0</v>
      </c>
      <c r="F174" s="223" t="s">
        <v>928</v>
      </c>
      <c r="G174" s="248">
        <f aca="true" t="shared" si="13" ref="G174:G192">D174/C174*100</f>
        <v>100</v>
      </c>
    </row>
    <row r="175" spans="1:7" ht="17.25">
      <c r="A175" s="123"/>
      <c r="B175" s="206" t="s">
        <v>14</v>
      </c>
      <c r="C175" s="155">
        <f>SUM(C176:C190)</f>
        <v>9711.8</v>
      </c>
      <c r="D175" s="155">
        <f>SUM(D176:D190)</f>
        <v>9697.3</v>
      </c>
      <c r="E175" s="155">
        <f t="shared" si="12"/>
        <v>14.5</v>
      </c>
      <c r="F175" s="223"/>
      <c r="G175" s="248">
        <f t="shared" si="13"/>
        <v>99.85069709013777</v>
      </c>
    </row>
    <row r="176" spans="1:7" ht="66.75">
      <c r="A176" s="123">
        <v>1</v>
      </c>
      <c r="B176" s="199" t="s">
        <v>351</v>
      </c>
      <c r="C176" s="89">
        <v>3000</v>
      </c>
      <c r="D176" s="89">
        <v>3000</v>
      </c>
      <c r="E176" s="155">
        <f t="shared" si="12"/>
        <v>0</v>
      </c>
      <c r="F176" s="251" t="s">
        <v>929</v>
      </c>
      <c r="G176" s="248">
        <f t="shared" si="13"/>
        <v>100</v>
      </c>
    </row>
    <row r="177" spans="1:7" ht="65.25" customHeight="1">
      <c r="A177" s="123">
        <v>2</v>
      </c>
      <c r="B177" s="199" t="s">
        <v>561</v>
      </c>
      <c r="C177" s="89">
        <v>3000</v>
      </c>
      <c r="D177" s="89">
        <v>3000</v>
      </c>
      <c r="E177" s="155">
        <f t="shared" si="12"/>
        <v>0</v>
      </c>
      <c r="F177" s="223" t="s">
        <v>930</v>
      </c>
      <c r="G177" s="248">
        <f t="shared" si="13"/>
        <v>100</v>
      </c>
    </row>
    <row r="178" spans="1:7" ht="33">
      <c r="A178" s="123">
        <v>3</v>
      </c>
      <c r="B178" s="199" t="s">
        <v>562</v>
      </c>
      <c r="C178" s="89">
        <v>100</v>
      </c>
      <c r="D178" s="89">
        <v>100</v>
      </c>
      <c r="E178" s="155">
        <f t="shared" si="12"/>
        <v>0</v>
      </c>
      <c r="F178" s="223" t="s">
        <v>931</v>
      </c>
      <c r="G178" s="248">
        <f t="shared" si="13"/>
        <v>100</v>
      </c>
    </row>
    <row r="179" spans="1:7" ht="50.25">
      <c r="A179" s="123">
        <v>4</v>
      </c>
      <c r="B179" s="199" t="s">
        <v>517</v>
      </c>
      <c r="C179" s="89">
        <v>300</v>
      </c>
      <c r="D179" s="89">
        <v>300</v>
      </c>
      <c r="E179" s="155">
        <f t="shared" si="12"/>
        <v>0</v>
      </c>
      <c r="F179" s="223" t="s">
        <v>936</v>
      </c>
      <c r="G179" s="248">
        <f t="shared" si="13"/>
        <v>100</v>
      </c>
    </row>
    <row r="180" spans="1:7" ht="33" customHeight="1">
      <c r="A180" s="123">
        <v>5</v>
      </c>
      <c r="B180" s="199" t="s">
        <v>563</v>
      </c>
      <c r="C180" s="89">
        <v>50</v>
      </c>
      <c r="D180" s="89">
        <v>50</v>
      </c>
      <c r="E180" s="155">
        <f t="shared" si="12"/>
        <v>0</v>
      </c>
      <c r="F180" s="223" t="s">
        <v>933</v>
      </c>
      <c r="G180" s="248">
        <f t="shared" si="13"/>
        <v>100</v>
      </c>
    </row>
    <row r="181" spans="1:7" ht="33">
      <c r="A181" s="123">
        <v>6</v>
      </c>
      <c r="B181" s="199" t="s">
        <v>352</v>
      </c>
      <c r="C181" s="89">
        <v>150</v>
      </c>
      <c r="D181" s="89">
        <v>150</v>
      </c>
      <c r="E181" s="155">
        <f t="shared" si="12"/>
        <v>0</v>
      </c>
      <c r="F181" s="223" t="s">
        <v>934</v>
      </c>
      <c r="G181" s="248">
        <f t="shared" si="13"/>
        <v>100</v>
      </c>
    </row>
    <row r="182" spans="1:7" ht="20.25" customHeight="1">
      <c r="A182" s="123">
        <v>7</v>
      </c>
      <c r="B182" s="199" t="s">
        <v>353</v>
      </c>
      <c r="C182" s="89">
        <v>361.8</v>
      </c>
      <c r="D182" s="89">
        <v>347.3</v>
      </c>
      <c r="E182" s="155">
        <f t="shared" si="12"/>
        <v>14.5</v>
      </c>
      <c r="F182" s="223" t="s">
        <v>935</v>
      </c>
      <c r="G182" s="248">
        <f t="shared" si="13"/>
        <v>95.99226091763406</v>
      </c>
    </row>
    <row r="183" spans="1:7" ht="31.5" customHeight="1">
      <c r="A183" s="123">
        <v>8</v>
      </c>
      <c r="B183" s="199" t="s">
        <v>410</v>
      </c>
      <c r="C183" s="89">
        <v>300</v>
      </c>
      <c r="D183" s="89">
        <v>300</v>
      </c>
      <c r="E183" s="155">
        <f t="shared" si="12"/>
        <v>0</v>
      </c>
      <c r="F183" s="223" t="s">
        <v>932</v>
      </c>
      <c r="G183" s="248">
        <f t="shared" si="13"/>
        <v>100</v>
      </c>
    </row>
    <row r="184" spans="1:7" ht="47.25" customHeight="1">
      <c r="A184" s="123">
        <v>9</v>
      </c>
      <c r="B184" s="199" t="s">
        <v>564</v>
      </c>
      <c r="C184" s="89">
        <v>550</v>
      </c>
      <c r="D184" s="89">
        <v>550</v>
      </c>
      <c r="E184" s="155">
        <f t="shared" si="12"/>
        <v>0</v>
      </c>
      <c r="F184" s="242" t="s">
        <v>969</v>
      </c>
      <c r="G184" s="248">
        <f t="shared" si="13"/>
        <v>100</v>
      </c>
    </row>
    <row r="185" spans="1:7" ht="33.75" customHeight="1">
      <c r="A185" s="123">
        <v>10</v>
      </c>
      <c r="B185" s="199" t="s">
        <v>411</v>
      </c>
      <c r="C185" s="89">
        <v>300</v>
      </c>
      <c r="D185" s="89">
        <v>300</v>
      </c>
      <c r="E185" s="155">
        <f t="shared" si="12"/>
        <v>0</v>
      </c>
      <c r="F185" s="242" t="s">
        <v>937</v>
      </c>
      <c r="G185" s="248">
        <f t="shared" si="13"/>
        <v>100</v>
      </c>
    </row>
    <row r="186" spans="1:7" ht="51.75" customHeight="1">
      <c r="A186" s="123">
        <v>11</v>
      </c>
      <c r="B186" s="199" t="s">
        <v>518</v>
      </c>
      <c r="C186" s="89">
        <v>300</v>
      </c>
      <c r="D186" s="89">
        <v>300</v>
      </c>
      <c r="E186" s="155">
        <f t="shared" si="12"/>
        <v>0</v>
      </c>
      <c r="F186" s="223" t="s">
        <v>938</v>
      </c>
      <c r="G186" s="248">
        <f t="shared" si="13"/>
        <v>100</v>
      </c>
    </row>
    <row r="187" spans="1:7" ht="32.25" customHeight="1">
      <c r="A187" s="123">
        <v>12</v>
      </c>
      <c r="B187" s="199" t="s">
        <v>412</v>
      </c>
      <c r="C187" s="89">
        <v>550</v>
      </c>
      <c r="D187" s="89">
        <v>550</v>
      </c>
      <c r="E187" s="155">
        <f t="shared" si="12"/>
        <v>0</v>
      </c>
      <c r="F187" s="241" t="s">
        <v>939</v>
      </c>
      <c r="G187" s="248">
        <f t="shared" si="13"/>
        <v>100</v>
      </c>
    </row>
    <row r="188" spans="1:7" ht="32.25" customHeight="1">
      <c r="A188" s="123">
        <v>13</v>
      </c>
      <c r="B188" s="199" t="s">
        <v>547</v>
      </c>
      <c r="C188" s="89">
        <v>300</v>
      </c>
      <c r="D188" s="89">
        <v>300</v>
      </c>
      <c r="E188" s="155">
        <f t="shared" si="12"/>
        <v>0</v>
      </c>
      <c r="F188" s="223" t="s">
        <v>940</v>
      </c>
      <c r="G188" s="248">
        <f t="shared" si="13"/>
        <v>100</v>
      </c>
    </row>
    <row r="189" spans="1:7" ht="34.5" customHeight="1">
      <c r="A189" s="123">
        <v>14</v>
      </c>
      <c r="B189" s="199" t="s">
        <v>546</v>
      </c>
      <c r="C189" s="89">
        <v>250</v>
      </c>
      <c r="D189" s="89">
        <v>250</v>
      </c>
      <c r="E189" s="155">
        <f t="shared" si="12"/>
        <v>0</v>
      </c>
      <c r="F189" s="223" t="s">
        <v>941</v>
      </c>
      <c r="G189" s="248">
        <f t="shared" si="13"/>
        <v>100</v>
      </c>
    </row>
    <row r="190" spans="1:7" ht="53.25" customHeight="1">
      <c r="A190" s="123">
        <v>15</v>
      </c>
      <c r="B190" s="199" t="s">
        <v>488</v>
      </c>
      <c r="C190" s="89">
        <v>200</v>
      </c>
      <c r="D190" s="89">
        <v>200</v>
      </c>
      <c r="E190" s="155">
        <f t="shared" si="12"/>
        <v>0</v>
      </c>
      <c r="F190" s="245" t="s">
        <v>942</v>
      </c>
      <c r="G190" s="248">
        <f t="shared" si="13"/>
        <v>100</v>
      </c>
    </row>
    <row r="191" spans="1:7" ht="21.75" customHeight="1">
      <c r="A191" s="123"/>
      <c r="B191" s="206" t="s">
        <v>15</v>
      </c>
      <c r="C191" s="155">
        <f>SUM(C192:C200)</f>
        <v>9711.8</v>
      </c>
      <c r="D191" s="155">
        <f>SUM(D192:D200)</f>
        <v>9576.900000000001</v>
      </c>
      <c r="E191" s="155">
        <f t="shared" si="12"/>
        <v>134.89999999999782</v>
      </c>
      <c r="F191" s="223"/>
      <c r="G191" s="248">
        <f t="shared" si="13"/>
        <v>98.61096810066108</v>
      </c>
    </row>
    <row r="192" spans="1:7" ht="20.25" customHeight="1">
      <c r="A192" s="123">
        <v>1</v>
      </c>
      <c r="B192" s="199" t="s">
        <v>494</v>
      </c>
      <c r="C192" s="89">
        <v>300</v>
      </c>
      <c r="D192" s="89">
        <v>254.8</v>
      </c>
      <c r="E192" s="155">
        <f t="shared" si="12"/>
        <v>45.19999999999999</v>
      </c>
      <c r="F192" s="223" t="s">
        <v>945</v>
      </c>
      <c r="G192" s="248">
        <f t="shared" si="13"/>
        <v>84.93333333333334</v>
      </c>
    </row>
    <row r="193" spans="1:7" ht="33">
      <c r="A193" s="123">
        <v>2</v>
      </c>
      <c r="B193" s="199" t="s">
        <v>495</v>
      </c>
      <c r="C193" s="89">
        <v>650</v>
      </c>
      <c r="D193" s="89">
        <v>620.6</v>
      </c>
      <c r="E193" s="155">
        <f aca="true" t="shared" si="14" ref="E193:E200">C193-D193</f>
        <v>29.399999999999977</v>
      </c>
      <c r="F193" s="223" t="s">
        <v>946</v>
      </c>
      <c r="G193" s="248">
        <f aca="true" t="shared" si="15" ref="G193:G200">D193/C193*100</f>
        <v>95.47692307692309</v>
      </c>
    </row>
    <row r="194" spans="1:7" ht="24" customHeight="1">
      <c r="A194" s="123">
        <v>3</v>
      </c>
      <c r="B194" s="199" t="s">
        <v>496</v>
      </c>
      <c r="C194" s="89">
        <v>500</v>
      </c>
      <c r="D194" s="89">
        <v>439.7</v>
      </c>
      <c r="E194" s="155">
        <f t="shared" si="14"/>
        <v>60.30000000000001</v>
      </c>
      <c r="F194" s="223" t="s">
        <v>855</v>
      </c>
      <c r="G194" s="248">
        <f t="shared" si="15"/>
        <v>87.94</v>
      </c>
    </row>
    <row r="195" spans="1:7" ht="24" customHeight="1">
      <c r="A195" s="123">
        <v>4</v>
      </c>
      <c r="B195" s="199" t="s">
        <v>499</v>
      </c>
      <c r="C195" s="89">
        <v>400</v>
      </c>
      <c r="D195" s="89">
        <v>400</v>
      </c>
      <c r="E195" s="155">
        <f t="shared" si="14"/>
        <v>0</v>
      </c>
      <c r="F195" s="223" t="s">
        <v>945</v>
      </c>
      <c r="G195" s="248">
        <f t="shared" si="15"/>
        <v>100</v>
      </c>
    </row>
    <row r="196" spans="1:7" ht="66" customHeight="1">
      <c r="A196" s="123">
        <v>5</v>
      </c>
      <c r="B196" s="199" t="s">
        <v>413</v>
      </c>
      <c r="C196" s="89">
        <v>5176.8</v>
      </c>
      <c r="D196" s="89">
        <v>5176.8</v>
      </c>
      <c r="E196" s="155">
        <f t="shared" si="14"/>
        <v>0</v>
      </c>
      <c r="F196" s="247" t="s">
        <v>943</v>
      </c>
      <c r="G196" s="248">
        <f t="shared" si="15"/>
        <v>100</v>
      </c>
    </row>
    <row r="197" spans="1:7" ht="66.75" customHeight="1">
      <c r="A197" s="123">
        <v>6</v>
      </c>
      <c r="B197" s="199" t="s">
        <v>497</v>
      </c>
      <c r="C197" s="89">
        <v>549</v>
      </c>
      <c r="D197" s="89">
        <v>549</v>
      </c>
      <c r="E197" s="155">
        <f t="shared" si="14"/>
        <v>0</v>
      </c>
      <c r="F197" s="223" t="s">
        <v>944</v>
      </c>
      <c r="G197" s="248">
        <f t="shared" si="15"/>
        <v>100</v>
      </c>
    </row>
    <row r="198" spans="1:7" ht="65.25" customHeight="1">
      <c r="A198" s="123">
        <v>7</v>
      </c>
      <c r="B198" s="199" t="s">
        <v>569</v>
      </c>
      <c r="C198" s="9">
        <v>1436</v>
      </c>
      <c r="D198" s="9">
        <v>1436</v>
      </c>
      <c r="E198" s="155">
        <f t="shared" si="14"/>
        <v>0</v>
      </c>
      <c r="F198" s="242" t="s">
        <v>947</v>
      </c>
      <c r="G198" s="248">
        <f t="shared" si="15"/>
        <v>100</v>
      </c>
    </row>
    <row r="199" spans="1:7" ht="66" customHeight="1">
      <c r="A199" s="123">
        <v>8</v>
      </c>
      <c r="B199" s="199" t="s">
        <v>509</v>
      </c>
      <c r="C199" s="89">
        <v>200</v>
      </c>
      <c r="D199" s="89">
        <v>200</v>
      </c>
      <c r="E199" s="155">
        <f t="shared" si="14"/>
        <v>0</v>
      </c>
      <c r="F199" s="223" t="s">
        <v>930</v>
      </c>
      <c r="G199" s="248">
        <f t="shared" si="15"/>
        <v>100</v>
      </c>
    </row>
    <row r="200" spans="1:7" ht="65.25" customHeight="1">
      <c r="A200" s="123">
        <v>9</v>
      </c>
      <c r="B200" s="199" t="s">
        <v>498</v>
      </c>
      <c r="C200" s="89">
        <v>500</v>
      </c>
      <c r="D200" s="89">
        <v>500</v>
      </c>
      <c r="E200" s="155">
        <f t="shared" si="14"/>
        <v>0</v>
      </c>
      <c r="F200" s="245" t="s">
        <v>948</v>
      </c>
      <c r="G200" s="248">
        <f t="shared" si="15"/>
        <v>100</v>
      </c>
    </row>
    <row r="201" spans="1:7" ht="17.25">
      <c r="A201" s="297" t="s">
        <v>16</v>
      </c>
      <c r="B201" s="297"/>
      <c r="C201" s="225">
        <v>23563.5</v>
      </c>
      <c r="D201" s="225">
        <f>D202+D238+D261</f>
        <v>23563.496</v>
      </c>
      <c r="E201" s="225">
        <f aca="true" t="shared" si="16" ref="E201:E233">C201-D201</f>
        <v>0.004000000000814907</v>
      </c>
      <c r="F201" s="231"/>
      <c r="G201" s="249">
        <f aca="true" t="shared" si="17" ref="G201:G233">D201/C201*100</f>
        <v>99.99998302459312</v>
      </c>
    </row>
    <row r="202" spans="1:7" ht="17.25">
      <c r="A202" s="123"/>
      <c r="B202" s="206" t="s">
        <v>17</v>
      </c>
      <c r="C202" s="155">
        <v>7854.5</v>
      </c>
      <c r="D202" s="155">
        <f>SUM(D203:D237)</f>
        <v>7854.496</v>
      </c>
      <c r="E202" s="155">
        <f t="shared" si="16"/>
        <v>0.0039999999999054126</v>
      </c>
      <c r="F202" s="223"/>
      <c r="G202" s="248">
        <f t="shared" si="17"/>
        <v>99.99994907377936</v>
      </c>
    </row>
    <row r="203" spans="1:7" ht="24.75" customHeight="1">
      <c r="A203" s="123">
        <v>1</v>
      </c>
      <c r="B203" s="201" t="s">
        <v>119</v>
      </c>
      <c r="C203" s="89">
        <v>100</v>
      </c>
      <c r="D203" s="89">
        <v>100</v>
      </c>
      <c r="E203" s="155">
        <f t="shared" si="16"/>
        <v>0</v>
      </c>
      <c r="F203" s="223" t="s">
        <v>804</v>
      </c>
      <c r="G203" s="248">
        <f t="shared" si="17"/>
        <v>100</v>
      </c>
    </row>
    <row r="204" spans="1:7" ht="27" customHeight="1">
      <c r="A204" s="123">
        <v>2</v>
      </c>
      <c r="B204" s="201" t="s">
        <v>120</v>
      </c>
      <c r="C204" s="9">
        <v>95.4</v>
      </c>
      <c r="D204" s="89">
        <v>95.4</v>
      </c>
      <c r="E204" s="155">
        <f t="shared" si="16"/>
        <v>0</v>
      </c>
      <c r="F204" s="223" t="s">
        <v>805</v>
      </c>
      <c r="G204" s="248">
        <f t="shared" si="17"/>
        <v>100</v>
      </c>
    </row>
    <row r="205" spans="1:7" ht="33">
      <c r="A205" s="123">
        <v>3</v>
      </c>
      <c r="B205" s="201" t="s">
        <v>121</v>
      </c>
      <c r="C205" s="89">
        <v>100</v>
      </c>
      <c r="D205" s="89">
        <v>100</v>
      </c>
      <c r="E205" s="155">
        <f t="shared" si="16"/>
        <v>0</v>
      </c>
      <c r="F205" s="223" t="s">
        <v>806</v>
      </c>
      <c r="G205" s="248">
        <f t="shared" si="17"/>
        <v>100</v>
      </c>
    </row>
    <row r="206" spans="1:7" ht="24.75" customHeight="1">
      <c r="A206" s="123">
        <v>4</v>
      </c>
      <c r="B206" s="201" t="s">
        <v>122</v>
      </c>
      <c r="C206" s="89">
        <v>200</v>
      </c>
      <c r="D206" s="89">
        <v>200</v>
      </c>
      <c r="E206" s="155">
        <f t="shared" si="16"/>
        <v>0</v>
      </c>
      <c r="F206" s="223" t="s">
        <v>807</v>
      </c>
      <c r="G206" s="248">
        <f t="shared" si="17"/>
        <v>100</v>
      </c>
    </row>
    <row r="207" spans="1:7" ht="24.75" customHeight="1">
      <c r="A207" s="123">
        <v>5</v>
      </c>
      <c r="B207" s="201" t="s">
        <v>123</v>
      </c>
      <c r="C207" s="89">
        <v>200</v>
      </c>
      <c r="D207" s="89">
        <v>199.996</v>
      </c>
      <c r="E207" s="155">
        <f t="shared" si="16"/>
        <v>0.003999999999990678</v>
      </c>
      <c r="F207" s="223" t="s">
        <v>808</v>
      </c>
      <c r="G207" s="248">
        <f t="shared" si="17"/>
        <v>99.998</v>
      </c>
    </row>
    <row r="208" spans="1:7" ht="27" customHeight="1">
      <c r="A208" s="123">
        <v>6</v>
      </c>
      <c r="B208" s="201" t="s">
        <v>130</v>
      </c>
      <c r="C208" s="89">
        <v>100</v>
      </c>
      <c r="D208" s="89">
        <v>100</v>
      </c>
      <c r="E208" s="155">
        <f t="shared" si="16"/>
        <v>0</v>
      </c>
      <c r="F208" s="223" t="s">
        <v>809</v>
      </c>
      <c r="G208" s="248">
        <f t="shared" si="17"/>
        <v>100</v>
      </c>
    </row>
    <row r="209" spans="1:7" ht="48" customHeight="1">
      <c r="A209" s="123">
        <v>7</v>
      </c>
      <c r="B209" s="199" t="s">
        <v>590</v>
      </c>
      <c r="C209" s="9">
        <v>1309.1</v>
      </c>
      <c r="D209" s="89">
        <v>1309.1</v>
      </c>
      <c r="E209" s="155">
        <f t="shared" si="16"/>
        <v>0</v>
      </c>
      <c r="F209" s="223" t="s">
        <v>810</v>
      </c>
      <c r="G209" s="248">
        <f t="shared" si="17"/>
        <v>100</v>
      </c>
    </row>
    <row r="210" spans="1:7" ht="21.75" customHeight="1">
      <c r="A210" s="123">
        <v>8</v>
      </c>
      <c r="B210" s="201" t="s">
        <v>124</v>
      </c>
      <c r="C210" s="89">
        <v>200</v>
      </c>
      <c r="D210" s="89">
        <v>200</v>
      </c>
      <c r="E210" s="155">
        <f t="shared" si="16"/>
        <v>0</v>
      </c>
      <c r="F210" s="223" t="s">
        <v>811</v>
      </c>
      <c r="G210" s="248">
        <f t="shared" si="17"/>
        <v>100</v>
      </c>
    </row>
    <row r="211" spans="1:7" ht="33" customHeight="1">
      <c r="A211" s="123">
        <v>9</v>
      </c>
      <c r="B211" s="201" t="s">
        <v>125</v>
      </c>
      <c r="C211" s="89">
        <v>100</v>
      </c>
      <c r="D211" s="89">
        <v>100</v>
      </c>
      <c r="E211" s="155">
        <f t="shared" si="16"/>
        <v>0</v>
      </c>
      <c r="F211" s="223" t="s">
        <v>812</v>
      </c>
      <c r="G211" s="248">
        <f t="shared" si="17"/>
        <v>100</v>
      </c>
    </row>
    <row r="212" spans="1:7" ht="24" customHeight="1">
      <c r="A212" s="123">
        <v>10</v>
      </c>
      <c r="B212" s="201" t="s">
        <v>132</v>
      </c>
      <c r="C212" s="89">
        <v>200</v>
      </c>
      <c r="D212" s="89">
        <v>200</v>
      </c>
      <c r="E212" s="155">
        <f t="shared" si="16"/>
        <v>0</v>
      </c>
      <c r="F212" s="223" t="s">
        <v>813</v>
      </c>
      <c r="G212" s="248">
        <f t="shared" si="17"/>
        <v>100</v>
      </c>
    </row>
    <row r="213" spans="1:7" ht="24" customHeight="1">
      <c r="A213" s="123">
        <v>11</v>
      </c>
      <c r="B213" s="201" t="s">
        <v>133</v>
      </c>
      <c r="C213" s="89">
        <v>100</v>
      </c>
      <c r="D213" s="89">
        <v>100</v>
      </c>
      <c r="E213" s="155">
        <f t="shared" si="16"/>
        <v>0</v>
      </c>
      <c r="F213" s="223" t="s">
        <v>814</v>
      </c>
      <c r="G213" s="248">
        <f t="shared" si="17"/>
        <v>100</v>
      </c>
    </row>
    <row r="214" spans="1:7" ht="21" customHeight="1">
      <c r="A214" s="123">
        <v>12</v>
      </c>
      <c r="B214" s="201" t="s">
        <v>126</v>
      </c>
      <c r="C214" s="89">
        <v>100</v>
      </c>
      <c r="D214" s="89">
        <v>100</v>
      </c>
      <c r="E214" s="155">
        <f t="shared" si="16"/>
        <v>0</v>
      </c>
      <c r="F214" s="223" t="s">
        <v>815</v>
      </c>
      <c r="G214" s="248">
        <f t="shared" si="17"/>
        <v>100</v>
      </c>
    </row>
    <row r="215" spans="1:7" ht="25.5" customHeight="1">
      <c r="A215" s="123">
        <v>13</v>
      </c>
      <c r="B215" s="201" t="s">
        <v>127</v>
      </c>
      <c r="C215" s="89">
        <v>100</v>
      </c>
      <c r="D215" s="89">
        <v>100</v>
      </c>
      <c r="E215" s="155">
        <f t="shared" si="16"/>
        <v>0</v>
      </c>
      <c r="F215" s="223" t="s">
        <v>816</v>
      </c>
      <c r="G215" s="248">
        <f t="shared" si="17"/>
        <v>100</v>
      </c>
    </row>
    <row r="216" spans="1:7" ht="34.5" customHeight="1">
      <c r="A216" s="123">
        <v>14</v>
      </c>
      <c r="B216" s="201" t="s">
        <v>134</v>
      </c>
      <c r="C216" s="89">
        <v>100</v>
      </c>
      <c r="D216" s="89">
        <v>100</v>
      </c>
      <c r="E216" s="155">
        <f t="shared" si="16"/>
        <v>0</v>
      </c>
      <c r="F216" s="223" t="s">
        <v>817</v>
      </c>
      <c r="G216" s="248">
        <f t="shared" si="17"/>
        <v>100</v>
      </c>
    </row>
    <row r="217" spans="1:7" ht="33" customHeight="1">
      <c r="A217" s="123">
        <v>15</v>
      </c>
      <c r="B217" s="201" t="s">
        <v>135</v>
      </c>
      <c r="C217" s="89">
        <v>100</v>
      </c>
      <c r="D217" s="89">
        <v>100</v>
      </c>
      <c r="E217" s="155">
        <f t="shared" si="16"/>
        <v>0</v>
      </c>
      <c r="F217" s="223" t="s">
        <v>818</v>
      </c>
      <c r="G217" s="248">
        <f t="shared" si="17"/>
        <v>100</v>
      </c>
    </row>
    <row r="218" spans="1:7" ht="24" customHeight="1">
      <c r="A218" s="123">
        <v>16</v>
      </c>
      <c r="B218" s="201" t="s">
        <v>136</v>
      </c>
      <c r="C218" s="89">
        <v>100</v>
      </c>
      <c r="D218" s="89">
        <v>100</v>
      </c>
      <c r="E218" s="155">
        <f t="shared" si="16"/>
        <v>0</v>
      </c>
      <c r="F218" s="223" t="s">
        <v>818</v>
      </c>
      <c r="G218" s="248">
        <f t="shared" si="17"/>
        <v>100</v>
      </c>
    </row>
    <row r="219" spans="1:7" ht="22.5" customHeight="1">
      <c r="A219" s="123">
        <v>17</v>
      </c>
      <c r="B219" s="201" t="s">
        <v>137</v>
      </c>
      <c r="C219" s="89">
        <v>250</v>
      </c>
      <c r="D219" s="89">
        <v>250</v>
      </c>
      <c r="E219" s="155">
        <f t="shared" si="16"/>
        <v>0</v>
      </c>
      <c r="F219" s="223" t="s">
        <v>819</v>
      </c>
      <c r="G219" s="248">
        <f t="shared" si="17"/>
        <v>100</v>
      </c>
    </row>
    <row r="220" spans="1:7" ht="34.5" customHeight="1">
      <c r="A220" s="123">
        <v>18</v>
      </c>
      <c r="B220" s="201" t="s">
        <v>138</v>
      </c>
      <c r="C220" s="89">
        <v>250</v>
      </c>
      <c r="D220" s="89">
        <v>250</v>
      </c>
      <c r="E220" s="155">
        <f t="shared" si="16"/>
        <v>0</v>
      </c>
      <c r="F220" s="223" t="s">
        <v>820</v>
      </c>
      <c r="G220" s="248">
        <f t="shared" si="17"/>
        <v>100</v>
      </c>
    </row>
    <row r="221" spans="1:7" ht="24.75" customHeight="1">
      <c r="A221" s="123">
        <v>19</v>
      </c>
      <c r="B221" s="201" t="s">
        <v>128</v>
      </c>
      <c r="C221" s="89">
        <v>250</v>
      </c>
      <c r="D221" s="89">
        <v>250</v>
      </c>
      <c r="E221" s="155">
        <f t="shared" si="16"/>
        <v>0</v>
      </c>
      <c r="F221" s="240" t="s">
        <v>820</v>
      </c>
      <c r="G221" s="248">
        <f t="shared" si="17"/>
        <v>100</v>
      </c>
    </row>
    <row r="222" spans="1:7" ht="24" customHeight="1">
      <c r="A222" s="123">
        <v>20</v>
      </c>
      <c r="B222" s="201" t="s">
        <v>139</v>
      </c>
      <c r="C222" s="89">
        <v>250</v>
      </c>
      <c r="D222" s="89">
        <v>250</v>
      </c>
      <c r="E222" s="155">
        <f t="shared" si="16"/>
        <v>0</v>
      </c>
      <c r="F222" s="240" t="s">
        <v>820</v>
      </c>
      <c r="G222" s="248">
        <f t="shared" si="17"/>
        <v>100</v>
      </c>
    </row>
    <row r="223" spans="1:7" ht="33" customHeight="1">
      <c r="A223" s="123">
        <v>21</v>
      </c>
      <c r="B223" s="201" t="s">
        <v>140</v>
      </c>
      <c r="C223" s="89">
        <v>250</v>
      </c>
      <c r="D223" s="89">
        <v>250</v>
      </c>
      <c r="E223" s="155">
        <f t="shared" si="16"/>
        <v>0</v>
      </c>
      <c r="F223" s="223" t="s">
        <v>821</v>
      </c>
      <c r="G223" s="248">
        <f t="shared" si="17"/>
        <v>100</v>
      </c>
    </row>
    <row r="224" spans="1:7" ht="23.25" customHeight="1">
      <c r="A224" s="123">
        <v>22</v>
      </c>
      <c r="B224" s="201" t="s">
        <v>141</v>
      </c>
      <c r="C224" s="89">
        <v>250</v>
      </c>
      <c r="D224" s="89">
        <v>250</v>
      </c>
      <c r="E224" s="155">
        <f t="shared" si="16"/>
        <v>0</v>
      </c>
      <c r="F224" s="223" t="s">
        <v>822</v>
      </c>
      <c r="G224" s="248">
        <f t="shared" si="17"/>
        <v>100</v>
      </c>
    </row>
    <row r="225" spans="1:7" ht="22.5" customHeight="1">
      <c r="A225" s="123">
        <v>23</v>
      </c>
      <c r="B225" s="201" t="s">
        <v>142</v>
      </c>
      <c r="C225" s="89">
        <v>250</v>
      </c>
      <c r="D225" s="89">
        <v>250</v>
      </c>
      <c r="E225" s="155">
        <f t="shared" si="16"/>
        <v>0</v>
      </c>
      <c r="F225" s="223" t="s">
        <v>821</v>
      </c>
      <c r="G225" s="248">
        <f t="shared" si="17"/>
        <v>100</v>
      </c>
    </row>
    <row r="226" spans="1:7" ht="24" customHeight="1">
      <c r="A226" s="123">
        <v>24</v>
      </c>
      <c r="B226" s="201" t="s">
        <v>143</v>
      </c>
      <c r="C226" s="89">
        <v>200</v>
      </c>
      <c r="D226" s="89">
        <v>200</v>
      </c>
      <c r="E226" s="155">
        <f t="shared" si="16"/>
        <v>0</v>
      </c>
      <c r="F226" s="223" t="s">
        <v>823</v>
      </c>
      <c r="G226" s="248">
        <f t="shared" si="17"/>
        <v>100</v>
      </c>
    </row>
    <row r="227" spans="1:7" ht="30" customHeight="1">
      <c r="A227" s="123">
        <v>25</v>
      </c>
      <c r="B227" s="201" t="s">
        <v>144</v>
      </c>
      <c r="C227" s="89">
        <v>200</v>
      </c>
      <c r="D227" s="89">
        <v>200</v>
      </c>
      <c r="E227" s="155">
        <f t="shared" si="16"/>
        <v>0</v>
      </c>
      <c r="F227" s="223" t="s">
        <v>824</v>
      </c>
      <c r="G227" s="248">
        <f t="shared" si="17"/>
        <v>100</v>
      </c>
    </row>
    <row r="228" spans="1:7" ht="33.75" customHeight="1">
      <c r="A228" s="123">
        <v>26</v>
      </c>
      <c r="B228" s="201" t="s">
        <v>145</v>
      </c>
      <c r="C228" s="89">
        <v>150</v>
      </c>
      <c r="D228" s="89">
        <v>150</v>
      </c>
      <c r="E228" s="155">
        <f t="shared" si="16"/>
        <v>0</v>
      </c>
      <c r="F228" s="223" t="s">
        <v>825</v>
      </c>
      <c r="G228" s="248">
        <f t="shared" si="17"/>
        <v>100</v>
      </c>
    </row>
    <row r="229" spans="1:7" ht="33" customHeight="1">
      <c r="A229" s="123">
        <v>27</v>
      </c>
      <c r="B229" s="201" t="s">
        <v>147</v>
      </c>
      <c r="C229" s="89">
        <v>450</v>
      </c>
      <c r="D229" s="89">
        <v>450</v>
      </c>
      <c r="E229" s="155">
        <f t="shared" si="16"/>
        <v>0</v>
      </c>
      <c r="F229" s="223" t="s">
        <v>826</v>
      </c>
      <c r="G229" s="248">
        <f t="shared" si="17"/>
        <v>100</v>
      </c>
    </row>
    <row r="230" spans="1:7" ht="24" customHeight="1">
      <c r="A230" s="123">
        <v>28</v>
      </c>
      <c r="B230" s="201" t="s">
        <v>146</v>
      </c>
      <c r="C230" s="89">
        <v>250</v>
      </c>
      <c r="D230" s="89">
        <v>250</v>
      </c>
      <c r="E230" s="155">
        <f t="shared" si="16"/>
        <v>0</v>
      </c>
      <c r="F230" s="223" t="s">
        <v>827</v>
      </c>
      <c r="G230" s="248">
        <f t="shared" si="17"/>
        <v>100</v>
      </c>
    </row>
    <row r="231" spans="1:7" ht="31.5" customHeight="1">
      <c r="A231" s="123">
        <v>29</v>
      </c>
      <c r="B231" s="199" t="s">
        <v>583</v>
      </c>
      <c r="C231" s="89">
        <v>300</v>
      </c>
      <c r="D231" s="89">
        <v>300</v>
      </c>
      <c r="E231" s="155">
        <f t="shared" si="16"/>
        <v>0</v>
      </c>
      <c r="F231" s="223" t="s">
        <v>828</v>
      </c>
      <c r="G231" s="248">
        <f t="shared" si="17"/>
        <v>100</v>
      </c>
    </row>
    <row r="232" spans="1:7" ht="33">
      <c r="A232" s="123">
        <v>30</v>
      </c>
      <c r="B232" s="201" t="s">
        <v>565</v>
      </c>
      <c r="C232" s="89">
        <v>100</v>
      </c>
      <c r="D232" s="89">
        <v>100</v>
      </c>
      <c r="E232" s="155">
        <f t="shared" si="16"/>
        <v>0</v>
      </c>
      <c r="F232" s="223" t="s">
        <v>829</v>
      </c>
      <c r="G232" s="248">
        <f t="shared" si="17"/>
        <v>100</v>
      </c>
    </row>
    <row r="233" spans="1:7" ht="35.25" customHeight="1">
      <c r="A233" s="285">
        <v>35</v>
      </c>
      <c r="B233" s="224" t="s">
        <v>591</v>
      </c>
      <c r="C233" s="89">
        <v>100</v>
      </c>
      <c r="D233" s="89">
        <v>100</v>
      </c>
      <c r="E233" s="155">
        <f t="shared" si="16"/>
        <v>0</v>
      </c>
      <c r="F233" s="223" t="s">
        <v>970</v>
      </c>
      <c r="G233" s="248">
        <f t="shared" si="17"/>
        <v>100</v>
      </c>
    </row>
    <row r="234" spans="1:7" ht="31.5" customHeight="1">
      <c r="A234" s="123">
        <v>32</v>
      </c>
      <c r="B234" s="201" t="s">
        <v>391</v>
      </c>
      <c r="C234" s="89">
        <v>210</v>
      </c>
      <c r="D234" s="89">
        <v>210</v>
      </c>
      <c r="E234" s="155">
        <f aca="true" t="shared" si="18" ref="E234:E265">C234-D234</f>
        <v>0</v>
      </c>
      <c r="F234" s="223" t="s">
        <v>909</v>
      </c>
      <c r="G234" s="248">
        <f aca="true" t="shared" si="19" ref="G234:G265">D234/C234*100</f>
        <v>100</v>
      </c>
    </row>
    <row r="235" spans="1:7" ht="33" customHeight="1">
      <c r="A235" s="123">
        <v>33</v>
      </c>
      <c r="B235" s="201" t="s">
        <v>390</v>
      </c>
      <c r="C235" s="89">
        <v>740</v>
      </c>
      <c r="D235" s="89">
        <v>740</v>
      </c>
      <c r="E235" s="155">
        <f t="shared" si="18"/>
        <v>0</v>
      </c>
      <c r="F235" s="223" t="s">
        <v>910</v>
      </c>
      <c r="G235" s="248">
        <f t="shared" si="19"/>
        <v>100</v>
      </c>
    </row>
    <row r="236" spans="1:7" ht="22.5" customHeight="1">
      <c r="A236" s="123">
        <v>34</v>
      </c>
      <c r="B236" s="211" t="s">
        <v>473</v>
      </c>
      <c r="C236" s="89">
        <v>100</v>
      </c>
      <c r="D236" s="89">
        <v>100</v>
      </c>
      <c r="E236" s="155">
        <f t="shared" si="18"/>
        <v>0</v>
      </c>
      <c r="F236" s="223" t="s">
        <v>830</v>
      </c>
      <c r="G236" s="248">
        <f t="shared" si="19"/>
        <v>100</v>
      </c>
    </row>
    <row r="237" spans="1:7" ht="31.5" customHeight="1">
      <c r="A237" s="123">
        <v>35</v>
      </c>
      <c r="B237" s="200" t="s">
        <v>474</v>
      </c>
      <c r="C237" s="89">
        <v>100</v>
      </c>
      <c r="D237" s="89">
        <v>100</v>
      </c>
      <c r="E237" s="155">
        <f t="shared" si="18"/>
        <v>0</v>
      </c>
      <c r="F237" s="223" t="s">
        <v>971</v>
      </c>
      <c r="G237" s="248">
        <f t="shared" si="19"/>
        <v>100</v>
      </c>
    </row>
    <row r="238" spans="1:7" ht="21" customHeight="1">
      <c r="A238" s="286"/>
      <c r="B238" s="206" t="s">
        <v>18</v>
      </c>
      <c r="C238" s="155">
        <v>7854.5</v>
      </c>
      <c r="D238" s="155">
        <f>SUM(D239:D260)</f>
        <v>7854.5</v>
      </c>
      <c r="E238" s="155">
        <f t="shared" si="18"/>
        <v>0</v>
      </c>
      <c r="F238" s="223"/>
      <c r="G238" s="248">
        <f t="shared" si="19"/>
        <v>100</v>
      </c>
    </row>
    <row r="239" spans="1:7" ht="30" customHeight="1">
      <c r="A239" s="123">
        <v>1</v>
      </c>
      <c r="B239" s="201" t="s">
        <v>148</v>
      </c>
      <c r="C239" s="89">
        <v>150</v>
      </c>
      <c r="D239" s="89">
        <v>150</v>
      </c>
      <c r="E239" s="155">
        <f t="shared" si="18"/>
        <v>0</v>
      </c>
      <c r="F239" s="223" t="s">
        <v>786</v>
      </c>
      <c r="G239" s="248">
        <f t="shared" si="19"/>
        <v>100</v>
      </c>
    </row>
    <row r="240" spans="1:7" ht="33.75" customHeight="1">
      <c r="A240" s="123">
        <v>2</v>
      </c>
      <c r="B240" s="201" t="s">
        <v>592</v>
      </c>
      <c r="C240" s="89">
        <v>100</v>
      </c>
      <c r="D240" s="89">
        <v>100</v>
      </c>
      <c r="E240" s="155">
        <f t="shared" si="18"/>
        <v>0</v>
      </c>
      <c r="F240" s="223" t="s">
        <v>787</v>
      </c>
      <c r="G240" s="248">
        <f t="shared" si="19"/>
        <v>100</v>
      </c>
    </row>
    <row r="241" spans="1:7" ht="47.25" customHeight="1">
      <c r="A241" s="123">
        <v>3</v>
      </c>
      <c r="B241" s="201" t="s">
        <v>150</v>
      </c>
      <c r="C241" s="89">
        <v>150</v>
      </c>
      <c r="D241" s="89">
        <v>150</v>
      </c>
      <c r="E241" s="155">
        <f t="shared" si="18"/>
        <v>0</v>
      </c>
      <c r="F241" s="223" t="s">
        <v>788</v>
      </c>
      <c r="G241" s="248">
        <f t="shared" si="19"/>
        <v>100</v>
      </c>
    </row>
    <row r="242" spans="1:7" ht="51" customHeight="1">
      <c r="A242" s="123">
        <v>4</v>
      </c>
      <c r="B242" s="201" t="s">
        <v>151</v>
      </c>
      <c r="C242" s="89">
        <v>120</v>
      </c>
      <c r="D242" s="89">
        <v>120</v>
      </c>
      <c r="E242" s="155">
        <f t="shared" si="18"/>
        <v>0</v>
      </c>
      <c r="F242" s="223" t="s">
        <v>789</v>
      </c>
      <c r="G242" s="248">
        <f t="shared" si="19"/>
        <v>100</v>
      </c>
    </row>
    <row r="243" spans="1:7" ht="33" customHeight="1">
      <c r="A243" s="123">
        <v>5</v>
      </c>
      <c r="B243" s="201" t="s">
        <v>152</v>
      </c>
      <c r="C243" s="89">
        <v>87</v>
      </c>
      <c r="D243" s="89">
        <v>87</v>
      </c>
      <c r="E243" s="155">
        <f t="shared" si="18"/>
        <v>0</v>
      </c>
      <c r="F243" s="223" t="s">
        <v>790</v>
      </c>
      <c r="G243" s="248">
        <f t="shared" si="19"/>
        <v>100</v>
      </c>
    </row>
    <row r="244" spans="1:7" ht="30" customHeight="1">
      <c r="A244" s="123">
        <v>6</v>
      </c>
      <c r="B244" s="201" t="s">
        <v>153</v>
      </c>
      <c r="C244" s="89">
        <v>160</v>
      </c>
      <c r="D244" s="89">
        <v>160</v>
      </c>
      <c r="E244" s="155">
        <f t="shared" si="18"/>
        <v>0</v>
      </c>
      <c r="F244" s="223" t="s">
        <v>791</v>
      </c>
      <c r="G244" s="248">
        <f t="shared" si="19"/>
        <v>100</v>
      </c>
    </row>
    <row r="245" spans="1:7" ht="32.25" customHeight="1">
      <c r="A245" s="123">
        <v>7</v>
      </c>
      <c r="B245" s="201" t="s">
        <v>154</v>
      </c>
      <c r="C245" s="89">
        <v>120</v>
      </c>
      <c r="D245" s="89">
        <v>120</v>
      </c>
      <c r="E245" s="155">
        <f t="shared" si="18"/>
        <v>0</v>
      </c>
      <c r="F245" s="223" t="s">
        <v>792</v>
      </c>
      <c r="G245" s="248">
        <f t="shared" si="19"/>
        <v>100</v>
      </c>
    </row>
    <row r="246" spans="1:7" ht="35.25" customHeight="1">
      <c r="A246" s="123">
        <v>8</v>
      </c>
      <c r="B246" s="201" t="s">
        <v>155</v>
      </c>
      <c r="C246" s="89">
        <v>130</v>
      </c>
      <c r="D246" s="89">
        <v>130</v>
      </c>
      <c r="E246" s="155">
        <f t="shared" si="18"/>
        <v>0</v>
      </c>
      <c r="F246" s="223" t="s">
        <v>793</v>
      </c>
      <c r="G246" s="248">
        <f t="shared" si="19"/>
        <v>100</v>
      </c>
    </row>
    <row r="247" spans="1:7" ht="33" customHeight="1">
      <c r="A247" s="123">
        <v>9</v>
      </c>
      <c r="B247" s="201" t="s">
        <v>157</v>
      </c>
      <c r="C247" s="89">
        <v>240</v>
      </c>
      <c r="D247" s="89">
        <v>240</v>
      </c>
      <c r="E247" s="155">
        <f t="shared" si="18"/>
        <v>0</v>
      </c>
      <c r="F247" s="223" t="s">
        <v>794</v>
      </c>
      <c r="G247" s="248">
        <f t="shared" si="19"/>
        <v>100</v>
      </c>
    </row>
    <row r="248" spans="1:7" ht="32.25" customHeight="1">
      <c r="A248" s="123">
        <v>10</v>
      </c>
      <c r="B248" s="201" t="s">
        <v>156</v>
      </c>
      <c r="C248" s="89">
        <v>25</v>
      </c>
      <c r="D248" s="89">
        <v>25</v>
      </c>
      <c r="E248" s="155">
        <f t="shared" si="18"/>
        <v>0</v>
      </c>
      <c r="F248" s="223" t="s">
        <v>795</v>
      </c>
      <c r="G248" s="248">
        <f t="shared" si="19"/>
        <v>100</v>
      </c>
    </row>
    <row r="249" spans="1:7" ht="32.25" customHeight="1">
      <c r="A249" s="123">
        <v>11</v>
      </c>
      <c r="B249" s="201" t="s">
        <v>158</v>
      </c>
      <c r="C249" s="89">
        <v>90</v>
      </c>
      <c r="D249" s="89">
        <v>90</v>
      </c>
      <c r="E249" s="155">
        <f t="shared" si="18"/>
        <v>0</v>
      </c>
      <c r="F249" s="223" t="s">
        <v>796</v>
      </c>
      <c r="G249" s="248">
        <f t="shared" si="19"/>
        <v>100</v>
      </c>
    </row>
    <row r="250" spans="1:7" ht="33" customHeight="1">
      <c r="A250" s="123">
        <v>12</v>
      </c>
      <c r="B250" s="201" t="s">
        <v>159</v>
      </c>
      <c r="C250" s="89">
        <v>135</v>
      </c>
      <c r="D250" s="89">
        <v>135</v>
      </c>
      <c r="E250" s="155">
        <f t="shared" si="18"/>
        <v>0</v>
      </c>
      <c r="F250" s="223" t="s">
        <v>797</v>
      </c>
      <c r="G250" s="248">
        <f t="shared" si="19"/>
        <v>100</v>
      </c>
    </row>
    <row r="251" spans="1:7" ht="23.25" customHeight="1">
      <c r="A251" s="123">
        <v>13</v>
      </c>
      <c r="B251" s="200" t="s">
        <v>160</v>
      </c>
      <c r="C251" s="89">
        <v>1800</v>
      </c>
      <c r="D251" s="89">
        <v>1800</v>
      </c>
      <c r="E251" s="155">
        <f t="shared" si="18"/>
        <v>0</v>
      </c>
      <c r="F251" s="223" t="s">
        <v>798</v>
      </c>
      <c r="G251" s="248">
        <f t="shared" si="19"/>
        <v>100</v>
      </c>
    </row>
    <row r="252" spans="1:7" ht="33" customHeight="1">
      <c r="A252" s="123">
        <v>14</v>
      </c>
      <c r="B252" s="201" t="s">
        <v>161</v>
      </c>
      <c r="C252" s="89">
        <v>940.9</v>
      </c>
      <c r="D252" s="89">
        <v>940.9</v>
      </c>
      <c r="E252" s="155">
        <f t="shared" si="18"/>
        <v>0</v>
      </c>
      <c r="F252" s="223" t="s">
        <v>799</v>
      </c>
      <c r="G252" s="248">
        <f t="shared" si="19"/>
        <v>100</v>
      </c>
    </row>
    <row r="253" spans="1:7" ht="33" customHeight="1">
      <c r="A253" s="123">
        <v>15</v>
      </c>
      <c r="B253" s="201" t="s">
        <v>162</v>
      </c>
      <c r="C253" s="89">
        <v>100</v>
      </c>
      <c r="D253" s="89">
        <v>100</v>
      </c>
      <c r="E253" s="155">
        <f t="shared" si="18"/>
        <v>0</v>
      </c>
      <c r="F253" s="223" t="s">
        <v>800</v>
      </c>
      <c r="G253" s="248">
        <f t="shared" si="19"/>
        <v>100</v>
      </c>
    </row>
    <row r="254" spans="1:7" ht="31.5" customHeight="1">
      <c r="A254" s="123">
        <v>16</v>
      </c>
      <c r="B254" s="201" t="s">
        <v>164</v>
      </c>
      <c r="C254" s="89">
        <v>60</v>
      </c>
      <c r="D254" s="89">
        <v>60</v>
      </c>
      <c r="E254" s="155">
        <f t="shared" si="18"/>
        <v>0</v>
      </c>
      <c r="F254" s="223" t="s">
        <v>801</v>
      </c>
      <c r="G254" s="248">
        <f t="shared" si="19"/>
        <v>100</v>
      </c>
    </row>
    <row r="255" spans="1:7" ht="33.75" customHeight="1">
      <c r="A255" s="123">
        <v>17</v>
      </c>
      <c r="B255" s="201" t="s">
        <v>165</v>
      </c>
      <c r="C255" s="89">
        <v>82.5</v>
      </c>
      <c r="D255" s="89">
        <v>82.5</v>
      </c>
      <c r="E255" s="155">
        <f t="shared" si="18"/>
        <v>0</v>
      </c>
      <c r="F255" s="223" t="s">
        <v>802</v>
      </c>
      <c r="G255" s="248">
        <f t="shared" si="19"/>
        <v>100</v>
      </c>
    </row>
    <row r="256" spans="1:7" ht="33" customHeight="1">
      <c r="A256" s="123">
        <v>18</v>
      </c>
      <c r="B256" s="201" t="s">
        <v>166</v>
      </c>
      <c r="C256" s="89">
        <v>864.1</v>
      </c>
      <c r="D256" s="89">
        <v>864.1</v>
      </c>
      <c r="E256" s="155">
        <f t="shared" si="18"/>
        <v>0</v>
      </c>
      <c r="F256" s="223" t="s">
        <v>803</v>
      </c>
      <c r="G256" s="248">
        <f t="shared" si="19"/>
        <v>100</v>
      </c>
    </row>
    <row r="257" spans="1:7" ht="33">
      <c r="A257" s="123">
        <v>19</v>
      </c>
      <c r="B257" s="212" t="s">
        <v>167</v>
      </c>
      <c r="C257" s="89">
        <v>400</v>
      </c>
      <c r="D257" s="89">
        <v>400</v>
      </c>
      <c r="E257" s="155">
        <f t="shared" si="18"/>
        <v>0</v>
      </c>
      <c r="F257" s="223" t="s">
        <v>911</v>
      </c>
      <c r="G257" s="248">
        <f t="shared" si="19"/>
        <v>100</v>
      </c>
    </row>
    <row r="258" spans="1:7" ht="18">
      <c r="A258" s="123">
        <v>20</v>
      </c>
      <c r="B258" s="201" t="s">
        <v>163</v>
      </c>
      <c r="C258" s="89">
        <v>700</v>
      </c>
      <c r="D258" s="89">
        <v>700</v>
      </c>
      <c r="E258" s="155">
        <f t="shared" si="18"/>
        <v>0</v>
      </c>
      <c r="F258" s="223" t="s">
        <v>855</v>
      </c>
      <c r="G258" s="248">
        <f t="shared" si="19"/>
        <v>100</v>
      </c>
    </row>
    <row r="259" spans="1:7" ht="33.75" customHeight="1">
      <c r="A259" s="123">
        <v>21</v>
      </c>
      <c r="B259" s="201" t="s">
        <v>391</v>
      </c>
      <c r="C259" s="89">
        <v>200</v>
      </c>
      <c r="D259" s="89">
        <v>200</v>
      </c>
      <c r="E259" s="155">
        <f t="shared" si="18"/>
        <v>0</v>
      </c>
      <c r="F259" s="223" t="s">
        <v>912</v>
      </c>
      <c r="G259" s="248">
        <f t="shared" si="19"/>
        <v>100</v>
      </c>
    </row>
    <row r="260" spans="1:7" ht="64.5" customHeight="1">
      <c r="A260" s="123">
        <v>22</v>
      </c>
      <c r="B260" s="199" t="s">
        <v>526</v>
      </c>
      <c r="C260" s="89">
        <v>1200</v>
      </c>
      <c r="D260" s="89">
        <v>1200</v>
      </c>
      <c r="E260" s="155">
        <f t="shared" si="18"/>
        <v>0</v>
      </c>
      <c r="F260" s="223" t="s">
        <v>913</v>
      </c>
      <c r="G260" s="248">
        <f t="shared" si="19"/>
        <v>100</v>
      </c>
    </row>
    <row r="261" spans="1:7" ht="19.5" customHeight="1">
      <c r="A261" s="123"/>
      <c r="B261" s="206" t="s">
        <v>19</v>
      </c>
      <c r="C261" s="155">
        <v>7854.5</v>
      </c>
      <c r="D261" s="155">
        <f>SUM(D262:D290)</f>
        <v>7854.5</v>
      </c>
      <c r="E261" s="155">
        <f t="shared" si="18"/>
        <v>0</v>
      </c>
      <c r="F261" s="223"/>
      <c r="G261" s="248">
        <f t="shared" si="19"/>
        <v>100</v>
      </c>
    </row>
    <row r="262" spans="1:7" ht="17.25" customHeight="1">
      <c r="A262" s="123">
        <v>1</v>
      </c>
      <c r="B262" s="201" t="s">
        <v>168</v>
      </c>
      <c r="C262" s="213">
        <v>400</v>
      </c>
      <c r="D262" s="213">
        <v>400</v>
      </c>
      <c r="E262" s="155">
        <f t="shared" si="18"/>
        <v>0</v>
      </c>
      <c r="F262" s="223" t="s">
        <v>760</v>
      </c>
      <c r="G262" s="248">
        <f t="shared" si="19"/>
        <v>100</v>
      </c>
    </row>
    <row r="263" spans="1:7" ht="51.75" customHeight="1">
      <c r="A263" s="123">
        <f>A262+1</f>
        <v>2</v>
      </c>
      <c r="B263" s="201" t="s">
        <v>169</v>
      </c>
      <c r="C263" s="213">
        <v>100</v>
      </c>
      <c r="D263" s="213">
        <v>100</v>
      </c>
      <c r="E263" s="155">
        <f t="shared" si="18"/>
        <v>0</v>
      </c>
      <c r="F263" s="239" t="s">
        <v>761</v>
      </c>
      <c r="G263" s="248">
        <f t="shared" si="19"/>
        <v>100</v>
      </c>
    </row>
    <row r="264" spans="1:7" ht="36.75" customHeight="1">
      <c r="A264" s="123">
        <f aca="true" t="shared" si="20" ref="A264:A284">A263+1</f>
        <v>3</v>
      </c>
      <c r="B264" s="201" t="s">
        <v>170</v>
      </c>
      <c r="C264" s="213">
        <v>43.4</v>
      </c>
      <c r="D264" s="213">
        <v>43.4</v>
      </c>
      <c r="E264" s="155">
        <f t="shared" si="18"/>
        <v>0</v>
      </c>
      <c r="F264" s="287" t="s">
        <v>762</v>
      </c>
      <c r="G264" s="248">
        <f t="shared" si="19"/>
        <v>100</v>
      </c>
    </row>
    <row r="265" spans="1:7" ht="30.75" customHeight="1">
      <c r="A265" s="123">
        <f t="shared" si="20"/>
        <v>4</v>
      </c>
      <c r="B265" s="201" t="s">
        <v>171</v>
      </c>
      <c r="C265" s="213">
        <v>120</v>
      </c>
      <c r="D265" s="213">
        <v>120</v>
      </c>
      <c r="E265" s="155">
        <f t="shared" si="18"/>
        <v>0</v>
      </c>
      <c r="F265" s="239" t="s">
        <v>763</v>
      </c>
      <c r="G265" s="248">
        <f t="shared" si="19"/>
        <v>100</v>
      </c>
    </row>
    <row r="266" spans="1:7" ht="33.75" customHeight="1">
      <c r="A266" s="123">
        <f t="shared" si="20"/>
        <v>5</v>
      </c>
      <c r="B266" s="201" t="s">
        <v>172</v>
      </c>
      <c r="C266" s="213">
        <v>100</v>
      </c>
      <c r="D266" s="213">
        <v>100</v>
      </c>
      <c r="E266" s="155">
        <f aca="true" t="shared" si="21" ref="E266:E297">C266-D266</f>
        <v>0</v>
      </c>
      <c r="F266" s="239" t="s">
        <v>764</v>
      </c>
      <c r="G266" s="248">
        <f aca="true" t="shared" si="22" ref="G266:G297">D266/C266*100</f>
        <v>100</v>
      </c>
    </row>
    <row r="267" spans="1:7" ht="35.25" customHeight="1">
      <c r="A267" s="123">
        <f t="shared" si="20"/>
        <v>6</v>
      </c>
      <c r="B267" s="201" t="s">
        <v>173</v>
      </c>
      <c r="C267" s="288">
        <v>150</v>
      </c>
      <c r="D267" s="288">
        <v>150</v>
      </c>
      <c r="E267" s="155">
        <f t="shared" si="21"/>
        <v>0</v>
      </c>
      <c r="F267" s="239" t="s">
        <v>765</v>
      </c>
      <c r="G267" s="248">
        <f t="shared" si="22"/>
        <v>100</v>
      </c>
    </row>
    <row r="268" spans="1:7" ht="33.75" customHeight="1">
      <c r="A268" s="123">
        <f t="shared" si="20"/>
        <v>7</v>
      </c>
      <c r="B268" s="201" t="s">
        <v>174</v>
      </c>
      <c r="C268" s="213">
        <v>399.1</v>
      </c>
      <c r="D268" s="213">
        <v>399.1</v>
      </c>
      <c r="E268" s="155">
        <f t="shared" si="21"/>
        <v>0</v>
      </c>
      <c r="F268" s="239" t="s">
        <v>766</v>
      </c>
      <c r="G268" s="248">
        <f t="shared" si="22"/>
        <v>100</v>
      </c>
    </row>
    <row r="269" spans="1:7" ht="30" customHeight="1">
      <c r="A269" s="123">
        <f t="shared" si="20"/>
        <v>8</v>
      </c>
      <c r="B269" s="201" t="s">
        <v>176</v>
      </c>
      <c r="C269" s="213">
        <v>208.2</v>
      </c>
      <c r="D269" s="213">
        <v>208.2</v>
      </c>
      <c r="E269" s="155">
        <f t="shared" si="21"/>
        <v>0</v>
      </c>
      <c r="F269" s="239" t="s">
        <v>767</v>
      </c>
      <c r="G269" s="248">
        <f t="shared" si="22"/>
        <v>100</v>
      </c>
    </row>
    <row r="270" spans="1:7" ht="33" customHeight="1">
      <c r="A270" s="123">
        <f t="shared" si="20"/>
        <v>9</v>
      </c>
      <c r="B270" s="201" t="s">
        <v>175</v>
      </c>
      <c r="C270" s="213">
        <v>280</v>
      </c>
      <c r="D270" s="213">
        <v>280</v>
      </c>
      <c r="E270" s="155">
        <f t="shared" si="21"/>
        <v>0</v>
      </c>
      <c r="F270" s="239" t="s">
        <v>768</v>
      </c>
      <c r="G270" s="248">
        <f t="shared" si="22"/>
        <v>100</v>
      </c>
    </row>
    <row r="271" spans="1:7" ht="48" customHeight="1">
      <c r="A271" s="123">
        <f t="shared" si="20"/>
        <v>10</v>
      </c>
      <c r="B271" s="200" t="s">
        <v>177</v>
      </c>
      <c r="C271" s="213">
        <v>172.6</v>
      </c>
      <c r="D271" s="213">
        <v>172.6</v>
      </c>
      <c r="E271" s="155">
        <f t="shared" si="21"/>
        <v>0</v>
      </c>
      <c r="F271" s="239" t="s">
        <v>769</v>
      </c>
      <c r="G271" s="248">
        <f t="shared" si="22"/>
        <v>100</v>
      </c>
    </row>
    <row r="272" spans="1:7" ht="20.25" customHeight="1">
      <c r="A272" s="123">
        <v>11</v>
      </c>
      <c r="B272" s="201" t="s">
        <v>181</v>
      </c>
      <c r="C272" s="213">
        <v>130</v>
      </c>
      <c r="D272" s="213">
        <v>130</v>
      </c>
      <c r="E272" s="155">
        <f t="shared" si="21"/>
        <v>0</v>
      </c>
      <c r="F272" s="239" t="s">
        <v>770</v>
      </c>
      <c r="G272" s="248">
        <f t="shared" si="22"/>
        <v>100</v>
      </c>
    </row>
    <row r="273" spans="1:7" ht="32.25" customHeight="1">
      <c r="A273" s="123">
        <f t="shared" si="20"/>
        <v>12</v>
      </c>
      <c r="B273" s="201" t="s">
        <v>178</v>
      </c>
      <c r="C273" s="213">
        <v>341.8</v>
      </c>
      <c r="D273" s="213">
        <v>341.8</v>
      </c>
      <c r="E273" s="155">
        <f t="shared" si="21"/>
        <v>0</v>
      </c>
      <c r="F273" s="239" t="s">
        <v>771</v>
      </c>
      <c r="G273" s="248">
        <f t="shared" si="22"/>
        <v>100</v>
      </c>
    </row>
    <row r="274" spans="1:7" ht="33">
      <c r="A274" s="123">
        <f t="shared" si="20"/>
        <v>13</v>
      </c>
      <c r="B274" s="201" t="s">
        <v>179</v>
      </c>
      <c r="C274" s="289">
        <v>120.6</v>
      </c>
      <c r="D274" s="289">
        <v>120.6</v>
      </c>
      <c r="E274" s="155">
        <f t="shared" si="21"/>
        <v>0</v>
      </c>
      <c r="F274" s="239" t="s">
        <v>772</v>
      </c>
      <c r="G274" s="248">
        <f t="shared" si="22"/>
        <v>100</v>
      </c>
    </row>
    <row r="275" spans="1:7" ht="33" customHeight="1">
      <c r="A275" s="123">
        <f t="shared" si="20"/>
        <v>14</v>
      </c>
      <c r="B275" s="201" t="s">
        <v>180</v>
      </c>
      <c r="C275" s="289">
        <v>100</v>
      </c>
      <c r="D275" s="289">
        <v>100</v>
      </c>
      <c r="E275" s="155">
        <f t="shared" si="21"/>
        <v>0</v>
      </c>
      <c r="F275" s="239" t="s">
        <v>773</v>
      </c>
      <c r="G275" s="248">
        <f t="shared" si="22"/>
        <v>100</v>
      </c>
    </row>
    <row r="276" spans="1:7" ht="21" customHeight="1">
      <c r="A276" s="123">
        <f t="shared" si="20"/>
        <v>15</v>
      </c>
      <c r="B276" s="201" t="s">
        <v>182</v>
      </c>
      <c r="C276" s="213">
        <v>300</v>
      </c>
      <c r="D276" s="213">
        <v>300</v>
      </c>
      <c r="E276" s="155">
        <f t="shared" si="21"/>
        <v>0</v>
      </c>
      <c r="F276" s="239" t="s">
        <v>774</v>
      </c>
      <c r="G276" s="248">
        <f t="shared" si="22"/>
        <v>100</v>
      </c>
    </row>
    <row r="277" spans="1:7" ht="48" customHeight="1">
      <c r="A277" s="123">
        <f t="shared" si="20"/>
        <v>16</v>
      </c>
      <c r="B277" s="199" t="s">
        <v>567</v>
      </c>
      <c r="C277" s="213">
        <v>203.5</v>
      </c>
      <c r="D277" s="213">
        <v>203.5</v>
      </c>
      <c r="E277" s="155">
        <f t="shared" si="21"/>
        <v>0</v>
      </c>
      <c r="F277" s="239" t="s">
        <v>775</v>
      </c>
      <c r="G277" s="248">
        <f t="shared" si="22"/>
        <v>100</v>
      </c>
    </row>
    <row r="278" spans="1:7" ht="33">
      <c r="A278" s="123">
        <f t="shared" si="20"/>
        <v>17</v>
      </c>
      <c r="B278" s="201" t="s">
        <v>183</v>
      </c>
      <c r="C278" s="213">
        <v>363.1</v>
      </c>
      <c r="D278" s="213">
        <v>363.1</v>
      </c>
      <c r="E278" s="155">
        <f t="shared" si="21"/>
        <v>0</v>
      </c>
      <c r="F278" s="239" t="s">
        <v>776</v>
      </c>
      <c r="G278" s="248">
        <f t="shared" si="22"/>
        <v>100</v>
      </c>
    </row>
    <row r="279" spans="1:7" ht="33" customHeight="1">
      <c r="A279" s="123">
        <f t="shared" si="20"/>
        <v>18</v>
      </c>
      <c r="B279" s="201" t="s">
        <v>184</v>
      </c>
      <c r="C279" s="213">
        <v>170</v>
      </c>
      <c r="D279" s="213">
        <v>170</v>
      </c>
      <c r="E279" s="155">
        <f t="shared" si="21"/>
        <v>0</v>
      </c>
      <c r="F279" s="239" t="s">
        <v>777</v>
      </c>
      <c r="G279" s="248">
        <f t="shared" si="22"/>
        <v>100</v>
      </c>
    </row>
    <row r="280" spans="1:7" ht="30.75" customHeight="1">
      <c r="A280" s="123">
        <f t="shared" si="20"/>
        <v>19</v>
      </c>
      <c r="B280" s="201" t="s">
        <v>185</v>
      </c>
      <c r="C280" s="289">
        <v>80</v>
      </c>
      <c r="D280" s="289">
        <v>80</v>
      </c>
      <c r="E280" s="155">
        <f t="shared" si="21"/>
        <v>0</v>
      </c>
      <c r="F280" s="239" t="s">
        <v>778</v>
      </c>
      <c r="G280" s="248">
        <f t="shared" si="22"/>
        <v>100</v>
      </c>
    </row>
    <row r="281" spans="1:7" ht="33" customHeight="1">
      <c r="A281" s="123">
        <f t="shared" si="20"/>
        <v>20</v>
      </c>
      <c r="B281" s="201" t="s">
        <v>186</v>
      </c>
      <c r="C281" s="213">
        <v>500</v>
      </c>
      <c r="D281" s="213">
        <v>500</v>
      </c>
      <c r="E281" s="155">
        <f t="shared" si="21"/>
        <v>0</v>
      </c>
      <c r="F281" s="239" t="s">
        <v>779</v>
      </c>
      <c r="G281" s="248">
        <f t="shared" si="22"/>
        <v>100</v>
      </c>
    </row>
    <row r="282" spans="1:7" ht="32.25" customHeight="1">
      <c r="A282" s="123">
        <f t="shared" si="20"/>
        <v>21</v>
      </c>
      <c r="B282" s="201" t="s">
        <v>187</v>
      </c>
      <c r="C282" s="213">
        <v>303.8</v>
      </c>
      <c r="D282" s="213">
        <v>303.8</v>
      </c>
      <c r="E282" s="155">
        <f t="shared" si="21"/>
        <v>0</v>
      </c>
      <c r="F282" s="239" t="s">
        <v>780</v>
      </c>
      <c r="G282" s="248">
        <f t="shared" si="22"/>
        <v>100</v>
      </c>
    </row>
    <row r="283" spans="1:7" ht="33" customHeight="1">
      <c r="A283" s="123">
        <f t="shared" si="20"/>
        <v>22</v>
      </c>
      <c r="B283" s="201" t="s">
        <v>192</v>
      </c>
      <c r="C283" s="213">
        <v>125</v>
      </c>
      <c r="D283" s="213">
        <v>125</v>
      </c>
      <c r="E283" s="155">
        <f t="shared" si="21"/>
        <v>0</v>
      </c>
      <c r="F283" s="239" t="s">
        <v>781</v>
      </c>
      <c r="G283" s="248">
        <f t="shared" si="22"/>
        <v>100</v>
      </c>
    </row>
    <row r="284" spans="1:7" ht="39" customHeight="1">
      <c r="A284" s="123">
        <f t="shared" si="20"/>
        <v>23</v>
      </c>
      <c r="B284" s="199" t="s">
        <v>527</v>
      </c>
      <c r="C284" s="213">
        <v>50</v>
      </c>
      <c r="D284" s="213">
        <v>50</v>
      </c>
      <c r="E284" s="155">
        <f t="shared" si="21"/>
        <v>0</v>
      </c>
      <c r="F284" s="239" t="s">
        <v>782</v>
      </c>
      <c r="G284" s="248">
        <f t="shared" si="22"/>
        <v>100</v>
      </c>
    </row>
    <row r="285" spans="1:7" ht="62.25" customHeight="1">
      <c r="A285" s="123">
        <v>24</v>
      </c>
      <c r="B285" s="201" t="s">
        <v>188</v>
      </c>
      <c r="C285" s="213">
        <v>340</v>
      </c>
      <c r="D285" s="213">
        <v>340</v>
      </c>
      <c r="E285" s="155">
        <f t="shared" si="21"/>
        <v>0</v>
      </c>
      <c r="F285" s="239" t="s">
        <v>783</v>
      </c>
      <c r="G285" s="248">
        <f t="shared" si="22"/>
        <v>100</v>
      </c>
    </row>
    <row r="286" spans="1:7" ht="21.75" customHeight="1">
      <c r="A286" s="123">
        <v>25</v>
      </c>
      <c r="B286" s="201" t="s">
        <v>189</v>
      </c>
      <c r="C286" s="213">
        <v>250</v>
      </c>
      <c r="D286" s="213">
        <v>250</v>
      </c>
      <c r="E286" s="155">
        <f t="shared" si="21"/>
        <v>0</v>
      </c>
      <c r="F286" s="239" t="s">
        <v>774</v>
      </c>
      <c r="G286" s="248">
        <f t="shared" si="22"/>
        <v>100</v>
      </c>
    </row>
    <row r="287" spans="1:7" ht="33" customHeight="1">
      <c r="A287" s="123">
        <v>26</v>
      </c>
      <c r="B287" s="201" t="s">
        <v>190</v>
      </c>
      <c r="C287" s="213">
        <v>226</v>
      </c>
      <c r="D287" s="213">
        <v>226</v>
      </c>
      <c r="E287" s="155">
        <f t="shared" si="21"/>
        <v>0</v>
      </c>
      <c r="F287" s="239" t="s">
        <v>784</v>
      </c>
      <c r="G287" s="248">
        <f t="shared" si="22"/>
        <v>100</v>
      </c>
    </row>
    <row r="288" spans="1:7" ht="33.75" customHeight="1">
      <c r="A288" s="123">
        <v>27</v>
      </c>
      <c r="B288" s="201" t="s">
        <v>191</v>
      </c>
      <c r="C288" s="213">
        <v>277.4</v>
      </c>
      <c r="D288" s="213">
        <v>277.4</v>
      </c>
      <c r="E288" s="155">
        <f t="shared" si="21"/>
        <v>0</v>
      </c>
      <c r="F288" s="239" t="s">
        <v>785</v>
      </c>
      <c r="G288" s="248">
        <f t="shared" si="22"/>
        <v>100</v>
      </c>
    </row>
    <row r="289" spans="1:7" ht="30.75" customHeight="1">
      <c r="A289" s="123">
        <v>28</v>
      </c>
      <c r="B289" s="201" t="s">
        <v>392</v>
      </c>
      <c r="C289" s="213">
        <v>1100</v>
      </c>
      <c r="D289" s="213">
        <v>1100</v>
      </c>
      <c r="E289" s="155">
        <f t="shared" si="21"/>
        <v>0</v>
      </c>
      <c r="F289" s="250" t="s">
        <v>914</v>
      </c>
      <c r="G289" s="248">
        <f t="shared" si="22"/>
        <v>100</v>
      </c>
    </row>
    <row r="290" spans="1:7" ht="33" customHeight="1">
      <c r="A290" s="123">
        <v>29</v>
      </c>
      <c r="B290" s="201" t="s">
        <v>391</v>
      </c>
      <c r="C290" s="213">
        <v>900</v>
      </c>
      <c r="D290" s="213">
        <v>900</v>
      </c>
      <c r="E290" s="155">
        <f t="shared" si="21"/>
        <v>0</v>
      </c>
      <c r="F290" s="239" t="s">
        <v>915</v>
      </c>
      <c r="G290" s="248">
        <f t="shared" si="22"/>
        <v>100</v>
      </c>
    </row>
    <row r="291" spans="1:7" ht="25.5" customHeight="1">
      <c r="A291" s="295" t="s">
        <v>53</v>
      </c>
      <c r="B291" s="295"/>
      <c r="C291" s="225">
        <v>5179.6</v>
      </c>
      <c r="D291" s="225">
        <f>SUM(D292:D297)</f>
        <v>5048.143000000001</v>
      </c>
      <c r="E291" s="225">
        <f t="shared" si="21"/>
        <v>131.45699999999943</v>
      </c>
      <c r="F291" s="231"/>
      <c r="G291" s="249">
        <f t="shared" si="22"/>
        <v>97.46202409452468</v>
      </c>
    </row>
    <row r="292" spans="1:7" ht="66" customHeight="1">
      <c r="A292" s="123">
        <v>1</v>
      </c>
      <c r="B292" s="199" t="s">
        <v>78</v>
      </c>
      <c r="C292" s="89">
        <v>2000</v>
      </c>
      <c r="D292" s="89">
        <v>1973.346</v>
      </c>
      <c r="E292" s="155">
        <f t="shared" si="21"/>
        <v>26.653999999999996</v>
      </c>
      <c r="F292" s="223" t="s">
        <v>683</v>
      </c>
      <c r="G292" s="248">
        <f t="shared" si="22"/>
        <v>98.6673</v>
      </c>
    </row>
    <row r="293" spans="1:7" ht="66" customHeight="1">
      <c r="A293" s="123">
        <v>2</v>
      </c>
      <c r="B293" s="199" t="s">
        <v>79</v>
      </c>
      <c r="C293" s="89">
        <v>2000</v>
      </c>
      <c r="D293" s="89">
        <v>2000</v>
      </c>
      <c r="E293" s="155">
        <f t="shared" si="21"/>
        <v>0</v>
      </c>
      <c r="F293" s="223" t="s">
        <v>670</v>
      </c>
      <c r="G293" s="248">
        <f t="shared" si="22"/>
        <v>100</v>
      </c>
    </row>
    <row r="294" spans="1:7" ht="54" customHeight="1">
      <c r="A294" s="123">
        <v>3</v>
      </c>
      <c r="B294" s="200" t="s">
        <v>80</v>
      </c>
      <c r="C294" s="89">
        <v>259</v>
      </c>
      <c r="D294" s="89">
        <v>250.437</v>
      </c>
      <c r="E294" s="155">
        <f t="shared" si="21"/>
        <v>8.562999999999988</v>
      </c>
      <c r="F294" s="223" t="s">
        <v>671</v>
      </c>
      <c r="G294" s="248">
        <f t="shared" si="22"/>
        <v>96.69382239382239</v>
      </c>
    </row>
    <row r="295" spans="1:7" ht="62.25" customHeight="1">
      <c r="A295" s="123">
        <v>4</v>
      </c>
      <c r="B295" s="200" t="s">
        <v>393</v>
      </c>
      <c r="C295" s="89">
        <v>300</v>
      </c>
      <c r="D295" s="89">
        <v>243.76</v>
      </c>
      <c r="E295" s="155">
        <f t="shared" si="21"/>
        <v>56.24000000000001</v>
      </c>
      <c r="F295" s="223" t="s">
        <v>683</v>
      </c>
      <c r="G295" s="248">
        <f t="shared" si="22"/>
        <v>81.25333333333333</v>
      </c>
    </row>
    <row r="296" spans="1:7" ht="69" customHeight="1">
      <c r="A296" s="123">
        <v>5</v>
      </c>
      <c r="B296" s="200" t="s">
        <v>394</v>
      </c>
      <c r="C296" s="89">
        <v>300</v>
      </c>
      <c r="D296" s="89">
        <v>260</v>
      </c>
      <c r="E296" s="155">
        <f t="shared" si="21"/>
        <v>40</v>
      </c>
      <c r="F296" s="223" t="s">
        <v>683</v>
      </c>
      <c r="G296" s="248">
        <f t="shared" si="22"/>
        <v>86.66666666666667</v>
      </c>
    </row>
    <row r="297" spans="1:7" ht="44.25" customHeight="1">
      <c r="A297" s="123">
        <v>6</v>
      </c>
      <c r="B297" s="200" t="s">
        <v>81</v>
      </c>
      <c r="C297" s="89">
        <v>320.6</v>
      </c>
      <c r="D297" s="89">
        <v>320.6</v>
      </c>
      <c r="E297" s="155">
        <f t="shared" si="21"/>
        <v>0</v>
      </c>
      <c r="F297" s="223" t="s">
        <v>673</v>
      </c>
      <c r="G297" s="248">
        <f t="shared" si="22"/>
        <v>100</v>
      </c>
    </row>
    <row r="298" spans="1:7" ht="18.75" customHeight="1">
      <c r="A298" s="297" t="s">
        <v>20</v>
      </c>
      <c r="B298" s="297"/>
      <c r="C298" s="225">
        <v>4106.7</v>
      </c>
      <c r="D298" s="225">
        <f>SUM(D299)</f>
        <v>4106.7</v>
      </c>
      <c r="E298" s="225">
        <f aca="true" t="shared" si="23" ref="E298:E332">C298-D298</f>
        <v>0</v>
      </c>
      <c r="F298" s="231"/>
      <c r="G298" s="249">
        <f aca="true" t="shared" si="24" ref="G298:G332">D298/C298*100</f>
        <v>100</v>
      </c>
    </row>
    <row r="299" spans="1:7" ht="52.5" customHeight="1">
      <c r="A299" s="123">
        <v>1</v>
      </c>
      <c r="B299" s="199" t="s">
        <v>408</v>
      </c>
      <c r="C299" s="89">
        <v>4106.7</v>
      </c>
      <c r="D299" s="89">
        <v>4106.7</v>
      </c>
      <c r="E299" s="155">
        <f t="shared" si="23"/>
        <v>0</v>
      </c>
      <c r="F299" s="223" t="s">
        <v>672</v>
      </c>
      <c r="G299" s="248">
        <f t="shared" si="24"/>
        <v>100</v>
      </c>
    </row>
    <row r="300" spans="1:7" ht="24" customHeight="1">
      <c r="A300" s="295" t="s">
        <v>21</v>
      </c>
      <c r="B300" s="295"/>
      <c r="C300" s="225">
        <v>1974</v>
      </c>
      <c r="D300" s="225">
        <f>SUM(D301:D304)</f>
        <v>1974</v>
      </c>
      <c r="E300" s="225">
        <f t="shared" si="23"/>
        <v>0</v>
      </c>
      <c r="F300" s="231"/>
      <c r="G300" s="249">
        <f t="shared" si="24"/>
        <v>100</v>
      </c>
    </row>
    <row r="301" spans="1:7" ht="48" customHeight="1">
      <c r="A301" s="123">
        <v>1</v>
      </c>
      <c r="B301" s="200" t="s">
        <v>203</v>
      </c>
      <c r="C301" s="9">
        <v>960</v>
      </c>
      <c r="D301" s="9">
        <v>960</v>
      </c>
      <c r="E301" s="155">
        <f t="shared" si="23"/>
        <v>0</v>
      </c>
      <c r="F301" s="223" t="s">
        <v>656</v>
      </c>
      <c r="G301" s="248">
        <f t="shared" si="24"/>
        <v>100</v>
      </c>
    </row>
    <row r="302" spans="1:7" ht="35.25" customHeight="1">
      <c r="A302" s="123">
        <v>2</v>
      </c>
      <c r="B302" s="200" t="s">
        <v>204</v>
      </c>
      <c r="C302" s="9">
        <v>935</v>
      </c>
      <c r="D302" s="9">
        <v>935</v>
      </c>
      <c r="E302" s="155">
        <f t="shared" si="23"/>
        <v>0</v>
      </c>
      <c r="F302" s="223" t="s">
        <v>658</v>
      </c>
      <c r="G302" s="248">
        <f t="shared" si="24"/>
        <v>100</v>
      </c>
    </row>
    <row r="303" spans="1:7" ht="33" customHeight="1">
      <c r="A303" s="227">
        <v>3</v>
      </c>
      <c r="B303" s="224" t="s">
        <v>593</v>
      </c>
      <c r="C303" s="9">
        <v>39</v>
      </c>
      <c r="D303" s="9">
        <v>39</v>
      </c>
      <c r="E303" s="155">
        <f t="shared" si="23"/>
        <v>0</v>
      </c>
      <c r="F303" s="290" t="s">
        <v>657</v>
      </c>
      <c r="G303" s="248">
        <f t="shared" si="24"/>
        <v>100</v>
      </c>
    </row>
    <row r="304" spans="1:7" ht="38.25" customHeight="1">
      <c r="A304" s="227">
        <v>4</v>
      </c>
      <c r="B304" s="224" t="s">
        <v>594</v>
      </c>
      <c r="C304" s="9">
        <v>40</v>
      </c>
      <c r="D304" s="9">
        <v>40</v>
      </c>
      <c r="E304" s="155">
        <f t="shared" si="23"/>
        <v>0</v>
      </c>
      <c r="F304" s="223" t="s">
        <v>659</v>
      </c>
      <c r="G304" s="248">
        <f t="shared" si="24"/>
        <v>100</v>
      </c>
    </row>
    <row r="305" spans="1:7" ht="17.25">
      <c r="A305" s="297" t="s">
        <v>22</v>
      </c>
      <c r="B305" s="297"/>
      <c r="C305" s="225">
        <v>729.2</v>
      </c>
      <c r="D305" s="225">
        <f>SUM(D306)</f>
        <v>700</v>
      </c>
      <c r="E305" s="225">
        <f t="shared" si="23"/>
        <v>29.200000000000045</v>
      </c>
      <c r="F305" s="231"/>
      <c r="G305" s="249">
        <f t="shared" si="24"/>
        <v>95.99561162918266</v>
      </c>
    </row>
    <row r="306" spans="1:7" ht="33">
      <c r="A306" s="123">
        <v>1</v>
      </c>
      <c r="B306" s="200" t="s">
        <v>193</v>
      </c>
      <c r="C306" s="214">
        <v>729.2</v>
      </c>
      <c r="D306" s="214">
        <v>700</v>
      </c>
      <c r="E306" s="155">
        <f t="shared" si="23"/>
        <v>29.200000000000045</v>
      </c>
      <c r="F306" s="223" t="s">
        <v>693</v>
      </c>
      <c r="G306" s="248">
        <f t="shared" si="24"/>
        <v>95.99561162918266</v>
      </c>
    </row>
    <row r="307" spans="1:7" ht="18.75" customHeight="1">
      <c r="A307" s="297" t="s">
        <v>23</v>
      </c>
      <c r="B307" s="297"/>
      <c r="C307" s="225">
        <v>2391.1</v>
      </c>
      <c r="D307" s="225">
        <f>SUM(D308:D313)</f>
        <v>2391.1</v>
      </c>
      <c r="E307" s="225">
        <f t="shared" si="23"/>
        <v>0</v>
      </c>
      <c r="F307" s="231"/>
      <c r="G307" s="249">
        <f t="shared" si="24"/>
        <v>100</v>
      </c>
    </row>
    <row r="308" spans="1:7" ht="23.25" customHeight="1">
      <c r="A308" s="123">
        <v>1</v>
      </c>
      <c r="B308" s="199" t="s">
        <v>194</v>
      </c>
      <c r="C308" s="89">
        <v>1000</v>
      </c>
      <c r="D308" s="89">
        <v>1000</v>
      </c>
      <c r="E308" s="155">
        <f t="shared" si="23"/>
        <v>0</v>
      </c>
      <c r="F308" s="223" t="s">
        <v>662</v>
      </c>
      <c r="G308" s="248">
        <f t="shared" si="24"/>
        <v>100</v>
      </c>
    </row>
    <row r="309" spans="1:7" ht="22.5" customHeight="1">
      <c r="A309" s="123">
        <v>2</v>
      </c>
      <c r="B309" s="199" t="s">
        <v>195</v>
      </c>
      <c r="C309" s="89">
        <v>285.6</v>
      </c>
      <c r="D309" s="89">
        <v>285.6</v>
      </c>
      <c r="E309" s="155">
        <f t="shared" si="23"/>
        <v>0</v>
      </c>
      <c r="F309" s="223" t="s">
        <v>663</v>
      </c>
      <c r="G309" s="248">
        <f t="shared" si="24"/>
        <v>100</v>
      </c>
    </row>
    <row r="310" spans="1:7" ht="33.75" customHeight="1">
      <c r="A310" s="123">
        <v>3</v>
      </c>
      <c r="B310" s="199" t="s">
        <v>196</v>
      </c>
      <c r="C310" s="89">
        <v>214.2</v>
      </c>
      <c r="D310" s="89">
        <v>214.2</v>
      </c>
      <c r="E310" s="155">
        <f t="shared" si="23"/>
        <v>0</v>
      </c>
      <c r="F310" s="223" t="s">
        <v>664</v>
      </c>
      <c r="G310" s="248">
        <f t="shared" si="24"/>
        <v>100</v>
      </c>
    </row>
    <row r="311" spans="1:7" ht="22.5" customHeight="1">
      <c r="A311" s="123">
        <v>4</v>
      </c>
      <c r="B311" s="199" t="s">
        <v>197</v>
      </c>
      <c r="C311" s="89">
        <v>142.8</v>
      </c>
      <c r="D311" s="89">
        <v>142.8</v>
      </c>
      <c r="E311" s="155">
        <f t="shared" si="23"/>
        <v>0</v>
      </c>
      <c r="F311" s="223" t="s">
        <v>665</v>
      </c>
      <c r="G311" s="248">
        <f t="shared" si="24"/>
        <v>100</v>
      </c>
    </row>
    <row r="312" spans="1:7" ht="27" customHeight="1">
      <c r="A312" s="123">
        <v>5</v>
      </c>
      <c r="B312" s="199" t="s">
        <v>198</v>
      </c>
      <c r="C312" s="89">
        <v>485.8</v>
      </c>
      <c r="D312" s="89">
        <v>485.8</v>
      </c>
      <c r="E312" s="155">
        <f t="shared" si="23"/>
        <v>0</v>
      </c>
      <c r="F312" s="223" t="s">
        <v>666</v>
      </c>
      <c r="G312" s="248">
        <f t="shared" si="24"/>
        <v>100</v>
      </c>
    </row>
    <row r="313" spans="1:7" ht="30" customHeight="1">
      <c r="A313" s="123">
        <v>6</v>
      </c>
      <c r="B313" s="199" t="s">
        <v>199</v>
      </c>
      <c r="C313" s="89">
        <v>262.7</v>
      </c>
      <c r="D313" s="89">
        <v>262.7</v>
      </c>
      <c r="E313" s="155">
        <f t="shared" si="23"/>
        <v>0</v>
      </c>
      <c r="F313" s="223" t="s">
        <v>667</v>
      </c>
      <c r="G313" s="248">
        <f t="shared" si="24"/>
        <v>100</v>
      </c>
    </row>
    <row r="314" spans="1:7" ht="21.75" customHeight="1">
      <c r="A314" s="297" t="s">
        <v>24</v>
      </c>
      <c r="B314" s="297"/>
      <c r="C314" s="225">
        <v>2524.5</v>
      </c>
      <c r="D314" s="225">
        <f>SUM(D315:D318)</f>
        <v>2524.49</v>
      </c>
      <c r="E314" s="225">
        <f t="shared" si="23"/>
        <v>0.010000000000218279</v>
      </c>
      <c r="F314" s="231"/>
      <c r="G314" s="249">
        <f t="shared" si="24"/>
        <v>99.99960388195682</v>
      </c>
    </row>
    <row r="315" spans="1:7" ht="21.75" customHeight="1">
      <c r="A315" s="215">
        <v>1</v>
      </c>
      <c r="B315" s="199" t="s">
        <v>200</v>
      </c>
      <c r="C315" s="186">
        <v>886</v>
      </c>
      <c r="D315" s="186">
        <v>886</v>
      </c>
      <c r="E315" s="155">
        <f t="shared" si="23"/>
        <v>0</v>
      </c>
      <c r="F315" s="223" t="s">
        <v>694</v>
      </c>
      <c r="G315" s="248">
        <f t="shared" si="24"/>
        <v>100</v>
      </c>
    </row>
    <row r="316" spans="1:7" ht="32.25" customHeight="1">
      <c r="A316" s="215">
        <v>2</v>
      </c>
      <c r="B316" s="199" t="s">
        <v>201</v>
      </c>
      <c r="C316" s="186">
        <v>691.39</v>
      </c>
      <c r="D316" s="186">
        <v>691.39</v>
      </c>
      <c r="E316" s="155">
        <f t="shared" si="23"/>
        <v>0</v>
      </c>
      <c r="F316" s="223" t="s">
        <v>695</v>
      </c>
      <c r="G316" s="248">
        <f t="shared" si="24"/>
        <v>100</v>
      </c>
    </row>
    <row r="317" spans="1:7" ht="27" customHeight="1">
      <c r="A317" s="215">
        <v>3</v>
      </c>
      <c r="B317" s="199" t="s">
        <v>202</v>
      </c>
      <c r="C317" s="186">
        <v>834.5</v>
      </c>
      <c r="D317" s="186">
        <v>834.5</v>
      </c>
      <c r="E317" s="155">
        <f t="shared" si="23"/>
        <v>0</v>
      </c>
      <c r="F317" s="223" t="s">
        <v>696</v>
      </c>
      <c r="G317" s="248">
        <f t="shared" si="24"/>
        <v>100</v>
      </c>
    </row>
    <row r="318" spans="1:7" ht="33.75" customHeight="1">
      <c r="A318" s="233">
        <v>4</v>
      </c>
      <c r="B318" s="234" t="s">
        <v>595</v>
      </c>
      <c r="C318" s="186">
        <v>112.6</v>
      </c>
      <c r="D318" s="186">
        <v>112.6</v>
      </c>
      <c r="E318" s="155">
        <f t="shared" si="23"/>
        <v>0</v>
      </c>
      <c r="F318" s="223" t="s">
        <v>697</v>
      </c>
      <c r="G318" s="248"/>
    </row>
    <row r="319" spans="1:7" ht="17.25">
      <c r="A319" s="297" t="s">
        <v>25</v>
      </c>
      <c r="B319" s="297"/>
      <c r="C319" s="225">
        <v>1432.4</v>
      </c>
      <c r="D319" s="225">
        <f>D320</f>
        <v>1432.4</v>
      </c>
      <c r="E319" s="225">
        <f t="shared" si="23"/>
        <v>0</v>
      </c>
      <c r="F319" s="231"/>
      <c r="G319" s="249">
        <f t="shared" si="24"/>
        <v>100</v>
      </c>
    </row>
    <row r="320" spans="1:7" ht="57" customHeight="1">
      <c r="A320" s="123">
        <v>1</v>
      </c>
      <c r="B320" s="200" t="s">
        <v>544</v>
      </c>
      <c r="C320" s="89">
        <v>1432.4</v>
      </c>
      <c r="D320" s="89">
        <v>1432.4</v>
      </c>
      <c r="E320" s="155">
        <f t="shared" si="23"/>
        <v>0</v>
      </c>
      <c r="F320" s="223" t="s">
        <v>685</v>
      </c>
      <c r="G320" s="248">
        <f t="shared" si="24"/>
        <v>100</v>
      </c>
    </row>
    <row r="321" spans="1:7" ht="17.25">
      <c r="A321" s="297" t="s">
        <v>26</v>
      </c>
      <c r="B321" s="297"/>
      <c r="C321" s="225">
        <v>1827.6</v>
      </c>
      <c r="D321" s="225">
        <f>SUM(D322:D328)</f>
        <v>1827.6</v>
      </c>
      <c r="E321" s="225">
        <f t="shared" si="23"/>
        <v>0</v>
      </c>
      <c r="F321" s="231"/>
      <c r="G321" s="249">
        <f t="shared" si="24"/>
        <v>100</v>
      </c>
    </row>
    <row r="322" spans="1:7" ht="24.75" customHeight="1">
      <c r="A322" s="123">
        <v>1</v>
      </c>
      <c r="B322" s="199" t="s">
        <v>205</v>
      </c>
      <c r="C322" s="89">
        <v>300</v>
      </c>
      <c r="D322" s="89">
        <v>300</v>
      </c>
      <c r="E322" s="155">
        <f t="shared" si="23"/>
        <v>0</v>
      </c>
      <c r="F322" s="235" t="s">
        <v>686</v>
      </c>
      <c r="G322" s="248">
        <f t="shared" si="24"/>
        <v>100</v>
      </c>
    </row>
    <row r="323" spans="1:7" ht="24.75" customHeight="1">
      <c r="A323" s="123">
        <v>2</v>
      </c>
      <c r="B323" s="199" t="s">
        <v>475</v>
      </c>
      <c r="C323" s="89">
        <v>400</v>
      </c>
      <c r="D323" s="89">
        <v>400</v>
      </c>
      <c r="E323" s="155">
        <f t="shared" si="23"/>
        <v>0</v>
      </c>
      <c r="F323" s="235" t="s">
        <v>687</v>
      </c>
      <c r="G323" s="248">
        <f t="shared" si="24"/>
        <v>100</v>
      </c>
    </row>
    <row r="324" spans="1:7" ht="20.25" customHeight="1">
      <c r="A324" s="123">
        <v>3</v>
      </c>
      <c r="B324" s="199" t="s">
        <v>206</v>
      </c>
      <c r="C324" s="89">
        <v>327.6</v>
      </c>
      <c r="D324" s="89">
        <v>327.6</v>
      </c>
      <c r="E324" s="155">
        <f t="shared" si="23"/>
        <v>0</v>
      </c>
      <c r="F324" s="235" t="s">
        <v>688</v>
      </c>
      <c r="G324" s="248">
        <f t="shared" si="24"/>
        <v>100</v>
      </c>
    </row>
    <row r="325" spans="1:7" ht="33.75" customHeight="1">
      <c r="A325" s="123">
        <v>4</v>
      </c>
      <c r="B325" s="199" t="s">
        <v>519</v>
      </c>
      <c r="C325" s="89">
        <v>150</v>
      </c>
      <c r="D325" s="89">
        <v>150</v>
      </c>
      <c r="E325" s="155">
        <f t="shared" si="23"/>
        <v>0</v>
      </c>
      <c r="F325" s="235" t="s">
        <v>691</v>
      </c>
      <c r="G325" s="248">
        <f t="shared" si="24"/>
        <v>100</v>
      </c>
    </row>
    <row r="326" spans="1:7" ht="33">
      <c r="A326" s="123">
        <v>5</v>
      </c>
      <c r="B326" s="199" t="s">
        <v>401</v>
      </c>
      <c r="C326" s="89">
        <v>100</v>
      </c>
      <c r="D326" s="89">
        <v>100</v>
      </c>
      <c r="E326" s="155">
        <f t="shared" si="23"/>
        <v>0</v>
      </c>
      <c r="F326" s="235" t="s">
        <v>689</v>
      </c>
      <c r="G326" s="248">
        <f t="shared" si="24"/>
        <v>100</v>
      </c>
    </row>
    <row r="327" spans="1:7" ht="34.5" customHeight="1">
      <c r="A327" s="123">
        <v>6</v>
      </c>
      <c r="B327" s="199" t="s">
        <v>402</v>
      </c>
      <c r="C327" s="89">
        <v>150</v>
      </c>
      <c r="D327" s="89">
        <v>150</v>
      </c>
      <c r="E327" s="155">
        <f t="shared" si="23"/>
        <v>0</v>
      </c>
      <c r="F327" s="235" t="s">
        <v>690</v>
      </c>
      <c r="G327" s="248">
        <f t="shared" si="24"/>
        <v>100</v>
      </c>
    </row>
    <row r="328" spans="1:7" ht="27" customHeight="1">
      <c r="A328" s="123">
        <v>7</v>
      </c>
      <c r="B328" s="199" t="s">
        <v>403</v>
      </c>
      <c r="C328" s="89">
        <v>400</v>
      </c>
      <c r="D328" s="89">
        <v>400</v>
      </c>
      <c r="E328" s="155">
        <f t="shared" si="23"/>
        <v>0</v>
      </c>
      <c r="F328" s="236" t="s">
        <v>692</v>
      </c>
      <c r="G328" s="248">
        <f t="shared" si="24"/>
        <v>100</v>
      </c>
    </row>
    <row r="329" spans="1:7" ht="21" customHeight="1">
      <c r="A329" s="297" t="s">
        <v>27</v>
      </c>
      <c r="B329" s="297"/>
      <c r="C329" s="225">
        <v>1599.8</v>
      </c>
      <c r="D329" s="225">
        <f>SUM(D330:D332)</f>
        <v>1599.8</v>
      </c>
      <c r="E329" s="225">
        <f t="shared" si="23"/>
        <v>0</v>
      </c>
      <c r="F329" s="231"/>
      <c r="G329" s="249">
        <f t="shared" si="24"/>
        <v>100</v>
      </c>
    </row>
    <row r="330" spans="1:7" ht="27" customHeight="1">
      <c r="A330" s="123">
        <v>1</v>
      </c>
      <c r="B330" s="199" t="s">
        <v>207</v>
      </c>
      <c r="C330" s="89">
        <v>490</v>
      </c>
      <c r="D330" s="89">
        <v>490</v>
      </c>
      <c r="E330" s="155">
        <f t="shared" si="23"/>
        <v>0</v>
      </c>
      <c r="F330" s="223" t="s">
        <v>674</v>
      </c>
      <c r="G330" s="248">
        <f t="shared" si="24"/>
        <v>100</v>
      </c>
    </row>
    <row r="331" spans="1:7" ht="25.5" customHeight="1">
      <c r="A331" s="123">
        <v>2</v>
      </c>
      <c r="B331" s="199" t="s">
        <v>208</v>
      </c>
      <c r="C331" s="89">
        <v>1041.8</v>
      </c>
      <c r="D331" s="89">
        <v>1041.8</v>
      </c>
      <c r="E331" s="155">
        <f t="shared" si="23"/>
        <v>0</v>
      </c>
      <c r="F331" s="223" t="s">
        <v>675</v>
      </c>
      <c r="G331" s="248">
        <f t="shared" si="24"/>
        <v>100</v>
      </c>
    </row>
    <row r="332" spans="1:7" ht="30" customHeight="1">
      <c r="A332" s="123">
        <v>3</v>
      </c>
      <c r="B332" s="199" t="s">
        <v>209</v>
      </c>
      <c r="C332" s="89">
        <v>68</v>
      </c>
      <c r="D332" s="89">
        <v>68</v>
      </c>
      <c r="E332" s="155">
        <f t="shared" si="23"/>
        <v>0</v>
      </c>
      <c r="F332" s="223" t="s">
        <v>676</v>
      </c>
      <c r="G332" s="248">
        <f t="shared" si="24"/>
        <v>100</v>
      </c>
    </row>
    <row r="333" spans="1:7" ht="24" customHeight="1">
      <c r="A333" s="232" t="s">
        <v>28</v>
      </c>
      <c r="B333" s="282"/>
      <c r="C333" s="225">
        <v>1825.3</v>
      </c>
      <c r="D333" s="225">
        <f>SUM(D334:D349)</f>
        <v>1825.29</v>
      </c>
      <c r="E333" s="225">
        <f aca="true" t="shared" si="25" ref="E333:E368">C333-D333</f>
        <v>0.009999999999990905</v>
      </c>
      <c r="F333" s="231"/>
      <c r="G333" s="249">
        <f aca="true" t="shared" si="26" ref="G333:G365">D333/C333*100</f>
        <v>99.9994521448529</v>
      </c>
    </row>
    <row r="334" spans="1:7" ht="30" customHeight="1">
      <c r="A334" s="123">
        <v>1</v>
      </c>
      <c r="B334" s="205" t="s">
        <v>476</v>
      </c>
      <c r="C334" s="89">
        <v>173</v>
      </c>
      <c r="D334" s="89">
        <v>173</v>
      </c>
      <c r="E334" s="155">
        <f t="shared" si="25"/>
        <v>0</v>
      </c>
      <c r="F334" s="223" t="s">
        <v>698</v>
      </c>
      <c r="G334" s="248">
        <f t="shared" si="26"/>
        <v>100</v>
      </c>
    </row>
    <row r="335" spans="1:7" ht="30.75" customHeight="1">
      <c r="A335" s="123">
        <v>2</v>
      </c>
      <c r="B335" s="199" t="s">
        <v>210</v>
      </c>
      <c r="C335" s="89">
        <v>270</v>
      </c>
      <c r="D335" s="89">
        <v>270</v>
      </c>
      <c r="E335" s="155">
        <f t="shared" si="25"/>
        <v>0</v>
      </c>
      <c r="F335" s="223" t="s">
        <v>699</v>
      </c>
      <c r="G335" s="248">
        <f t="shared" si="26"/>
        <v>100</v>
      </c>
    </row>
    <row r="336" spans="1:7" ht="30.75" customHeight="1">
      <c r="A336" s="123">
        <v>3</v>
      </c>
      <c r="B336" s="205" t="s">
        <v>211</v>
      </c>
      <c r="C336" s="89">
        <v>40</v>
      </c>
      <c r="D336" s="89">
        <v>40</v>
      </c>
      <c r="E336" s="155">
        <f t="shared" si="25"/>
        <v>0</v>
      </c>
      <c r="F336" s="223" t="s">
        <v>699</v>
      </c>
      <c r="G336" s="248">
        <f t="shared" si="26"/>
        <v>100</v>
      </c>
    </row>
    <row r="337" spans="1:7" ht="30.75" customHeight="1">
      <c r="A337" s="123">
        <v>4</v>
      </c>
      <c r="B337" s="205" t="s">
        <v>212</v>
      </c>
      <c r="C337" s="89">
        <v>20</v>
      </c>
      <c r="D337" s="89">
        <v>20</v>
      </c>
      <c r="E337" s="155">
        <f t="shared" si="25"/>
        <v>0</v>
      </c>
      <c r="F337" s="223" t="s">
        <v>700</v>
      </c>
      <c r="G337" s="248">
        <f t="shared" si="26"/>
        <v>100</v>
      </c>
    </row>
    <row r="338" spans="1:7" ht="32.25" customHeight="1">
      <c r="A338" s="123">
        <v>5</v>
      </c>
      <c r="B338" s="205" t="s">
        <v>213</v>
      </c>
      <c r="C338" s="89">
        <v>30</v>
      </c>
      <c r="D338" s="89">
        <v>30</v>
      </c>
      <c r="E338" s="155">
        <f t="shared" si="25"/>
        <v>0</v>
      </c>
      <c r="F338" s="223" t="s">
        <v>702</v>
      </c>
      <c r="G338" s="248">
        <f t="shared" si="26"/>
        <v>100</v>
      </c>
    </row>
    <row r="339" spans="1:7" ht="30.75" customHeight="1">
      <c r="A339" s="123">
        <v>6</v>
      </c>
      <c r="B339" s="205" t="s">
        <v>216</v>
      </c>
      <c r="C339" s="89">
        <v>80</v>
      </c>
      <c r="D339" s="89">
        <v>80</v>
      </c>
      <c r="E339" s="155">
        <f t="shared" si="25"/>
        <v>0</v>
      </c>
      <c r="F339" s="223" t="s">
        <v>703</v>
      </c>
      <c r="G339" s="248">
        <f t="shared" si="26"/>
        <v>100</v>
      </c>
    </row>
    <row r="340" spans="1:7" ht="48" customHeight="1">
      <c r="A340" s="123">
        <v>7</v>
      </c>
      <c r="B340" s="205" t="s">
        <v>214</v>
      </c>
      <c r="C340" s="89">
        <v>77</v>
      </c>
      <c r="D340" s="89">
        <v>76.99</v>
      </c>
      <c r="E340" s="155">
        <f t="shared" si="25"/>
        <v>0.010000000000005116</v>
      </c>
      <c r="F340" s="223" t="s">
        <v>704</v>
      </c>
      <c r="G340" s="248">
        <f t="shared" si="26"/>
        <v>99.98701298701297</v>
      </c>
    </row>
    <row r="341" spans="1:7" ht="46.5" customHeight="1">
      <c r="A341" s="123">
        <v>8</v>
      </c>
      <c r="B341" s="205" t="s">
        <v>215</v>
      </c>
      <c r="C341" s="89">
        <v>140</v>
      </c>
      <c r="D341" s="89">
        <v>140</v>
      </c>
      <c r="E341" s="155">
        <f t="shared" si="25"/>
        <v>0</v>
      </c>
      <c r="F341" s="223" t="s">
        <v>705</v>
      </c>
      <c r="G341" s="248">
        <f t="shared" si="26"/>
        <v>100</v>
      </c>
    </row>
    <row r="342" spans="1:7" ht="32.25" customHeight="1">
      <c r="A342" s="123">
        <v>9</v>
      </c>
      <c r="B342" s="205" t="s">
        <v>217</v>
      </c>
      <c r="C342" s="89">
        <v>92</v>
      </c>
      <c r="D342" s="89">
        <v>92</v>
      </c>
      <c r="E342" s="155">
        <f t="shared" si="25"/>
        <v>0</v>
      </c>
      <c r="F342" s="223" t="s">
        <v>706</v>
      </c>
      <c r="G342" s="248">
        <f t="shared" si="26"/>
        <v>100</v>
      </c>
    </row>
    <row r="343" spans="1:7" ht="28.5" customHeight="1">
      <c r="A343" s="123">
        <v>10</v>
      </c>
      <c r="B343" s="205" t="s">
        <v>218</v>
      </c>
      <c r="C343" s="89">
        <v>90</v>
      </c>
      <c r="D343" s="89">
        <v>90</v>
      </c>
      <c r="E343" s="155">
        <f t="shared" si="25"/>
        <v>0</v>
      </c>
      <c r="F343" s="223" t="s">
        <v>699</v>
      </c>
      <c r="G343" s="248">
        <f t="shared" si="26"/>
        <v>100</v>
      </c>
    </row>
    <row r="344" spans="1:7" ht="30" customHeight="1">
      <c r="A344" s="123">
        <v>11</v>
      </c>
      <c r="B344" s="205" t="s">
        <v>219</v>
      </c>
      <c r="C344" s="89">
        <v>572</v>
      </c>
      <c r="D344" s="89">
        <v>572</v>
      </c>
      <c r="E344" s="155">
        <f t="shared" si="25"/>
        <v>0</v>
      </c>
      <c r="F344" s="223" t="s">
        <v>699</v>
      </c>
      <c r="G344" s="248">
        <f t="shared" si="26"/>
        <v>100</v>
      </c>
    </row>
    <row r="345" spans="1:7" ht="31.5" customHeight="1">
      <c r="A345" s="123">
        <v>12</v>
      </c>
      <c r="B345" s="205" t="s">
        <v>220</v>
      </c>
      <c r="C345" s="89">
        <v>51.3</v>
      </c>
      <c r="D345" s="89">
        <v>51.3</v>
      </c>
      <c r="E345" s="155">
        <f t="shared" si="25"/>
        <v>0</v>
      </c>
      <c r="F345" s="223" t="s">
        <v>707</v>
      </c>
      <c r="G345" s="248">
        <f t="shared" si="26"/>
        <v>100</v>
      </c>
    </row>
    <row r="346" spans="1:7" ht="35.25" customHeight="1">
      <c r="A346" s="123">
        <v>13</v>
      </c>
      <c r="B346" s="200" t="s">
        <v>221</v>
      </c>
      <c r="C346" s="89">
        <v>40</v>
      </c>
      <c r="D346" s="89">
        <v>40</v>
      </c>
      <c r="E346" s="155">
        <f t="shared" si="25"/>
        <v>0</v>
      </c>
      <c r="F346" s="223" t="s">
        <v>708</v>
      </c>
      <c r="G346" s="248">
        <f t="shared" si="26"/>
        <v>100</v>
      </c>
    </row>
    <row r="347" spans="1:7" ht="29.25" customHeight="1">
      <c r="A347" s="123">
        <v>14</v>
      </c>
      <c r="B347" s="200" t="s">
        <v>477</v>
      </c>
      <c r="C347" s="89">
        <v>77</v>
      </c>
      <c r="D347" s="89">
        <v>77</v>
      </c>
      <c r="E347" s="155">
        <f t="shared" si="25"/>
        <v>0</v>
      </c>
      <c r="F347" s="223" t="s">
        <v>701</v>
      </c>
      <c r="G347" s="248">
        <f t="shared" si="26"/>
        <v>100</v>
      </c>
    </row>
    <row r="348" spans="1:7" ht="33" customHeight="1">
      <c r="A348" s="227">
        <v>15</v>
      </c>
      <c r="B348" s="224" t="s">
        <v>596</v>
      </c>
      <c r="C348" s="9">
        <v>55</v>
      </c>
      <c r="D348" s="9">
        <v>55</v>
      </c>
      <c r="E348" s="155">
        <f t="shared" si="25"/>
        <v>0</v>
      </c>
      <c r="F348" s="223" t="s">
        <v>699</v>
      </c>
      <c r="G348" s="248">
        <f t="shared" si="26"/>
        <v>100</v>
      </c>
    </row>
    <row r="349" spans="1:7" ht="36" customHeight="1">
      <c r="A349" s="227">
        <v>16</v>
      </c>
      <c r="B349" s="224" t="s">
        <v>597</v>
      </c>
      <c r="C349" s="89">
        <v>18</v>
      </c>
      <c r="D349" s="89">
        <v>18</v>
      </c>
      <c r="E349" s="155">
        <f t="shared" si="25"/>
        <v>0</v>
      </c>
      <c r="F349" s="223" t="s">
        <v>709</v>
      </c>
      <c r="G349" s="248">
        <f t="shared" si="26"/>
        <v>100</v>
      </c>
    </row>
    <row r="350" spans="1:7" ht="22.5" customHeight="1">
      <c r="A350" s="232" t="s">
        <v>29</v>
      </c>
      <c r="B350" s="282"/>
      <c r="C350" s="225">
        <v>3048.5</v>
      </c>
      <c r="D350" s="225">
        <f>SUM(D351:D352)</f>
        <v>3048.1</v>
      </c>
      <c r="E350" s="225">
        <f t="shared" si="25"/>
        <v>0.40000000000009095</v>
      </c>
      <c r="F350" s="231"/>
      <c r="G350" s="249">
        <f t="shared" si="26"/>
        <v>99.98687879284894</v>
      </c>
    </row>
    <row r="351" spans="1:7" ht="36" customHeight="1">
      <c r="A351" s="123">
        <v>1</v>
      </c>
      <c r="B351" s="199" t="s">
        <v>520</v>
      </c>
      <c r="C351" s="89">
        <v>1200</v>
      </c>
      <c r="D351" s="89">
        <v>1199.6</v>
      </c>
      <c r="E351" s="155">
        <f t="shared" si="25"/>
        <v>0.40000000000009095</v>
      </c>
      <c r="F351" s="223" t="s">
        <v>660</v>
      </c>
      <c r="G351" s="248">
        <f t="shared" si="26"/>
        <v>99.96666666666665</v>
      </c>
    </row>
    <row r="352" spans="1:7" ht="33" customHeight="1">
      <c r="A352" s="123">
        <v>2</v>
      </c>
      <c r="B352" s="199" t="s">
        <v>521</v>
      </c>
      <c r="C352" s="89">
        <v>1848.5</v>
      </c>
      <c r="D352" s="89">
        <v>1848.5</v>
      </c>
      <c r="E352" s="155">
        <f t="shared" si="25"/>
        <v>0</v>
      </c>
      <c r="F352" s="223" t="s">
        <v>661</v>
      </c>
      <c r="G352" s="248">
        <f t="shared" si="26"/>
        <v>100</v>
      </c>
    </row>
    <row r="353" spans="1:7" ht="17.25">
      <c r="A353" s="232" t="s">
        <v>30</v>
      </c>
      <c r="B353" s="282"/>
      <c r="C353" s="225">
        <v>1198.5</v>
      </c>
      <c r="D353" s="225">
        <f>D354</f>
        <v>1198.5</v>
      </c>
      <c r="E353" s="225">
        <f t="shared" si="25"/>
        <v>0</v>
      </c>
      <c r="F353" s="231"/>
      <c r="G353" s="249">
        <f t="shared" si="26"/>
        <v>100</v>
      </c>
    </row>
    <row r="354" spans="1:7" ht="33.75" customHeight="1">
      <c r="A354" s="123">
        <v>1</v>
      </c>
      <c r="B354" s="199" t="s">
        <v>67</v>
      </c>
      <c r="C354" s="89">
        <v>1198.5</v>
      </c>
      <c r="D354" s="89">
        <v>1198.5</v>
      </c>
      <c r="E354" s="155">
        <f t="shared" si="25"/>
        <v>0</v>
      </c>
      <c r="F354" s="223" t="s">
        <v>628</v>
      </c>
      <c r="G354" s="248">
        <f t="shared" si="26"/>
        <v>100</v>
      </c>
    </row>
    <row r="355" spans="1:7" ht="18.75" customHeight="1">
      <c r="A355" s="297" t="s">
        <v>31</v>
      </c>
      <c r="B355" s="297"/>
      <c r="C355" s="225">
        <v>1498</v>
      </c>
      <c r="D355" s="225">
        <f>SUM(D356:D359)</f>
        <v>1498</v>
      </c>
      <c r="E355" s="225">
        <f t="shared" si="25"/>
        <v>0</v>
      </c>
      <c r="F355" s="231"/>
      <c r="G355" s="249">
        <f t="shared" si="26"/>
        <v>100</v>
      </c>
    </row>
    <row r="356" spans="1:7" ht="21" customHeight="1">
      <c r="A356" s="215">
        <v>1</v>
      </c>
      <c r="B356" s="199" t="s">
        <v>56</v>
      </c>
      <c r="C356" s="203">
        <v>393.2</v>
      </c>
      <c r="D356" s="203">
        <v>393.2</v>
      </c>
      <c r="E356" s="155">
        <f t="shared" si="25"/>
        <v>0</v>
      </c>
      <c r="F356" s="223" t="s">
        <v>629</v>
      </c>
      <c r="G356" s="248">
        <f t="shared" si="26"/>
        <v>100</v>
      </c>
    </row>
    <row r="357" spans="1:7" ht="24" customHeight="1">
      <c r="A357" s="215">
        <v>2</v>
      </c>
      <c r="B357" s="199" t="s">
        <v>57</v>
      </c>
      <c r="C357" s="203">
        <v>378.7</v>
      </c>
      <c r="D357" s="203">
        <v>378.7</v>
      </c>
      <c r="E357" s="155">
        <f t="shared" si="25"/>
        <v>0</v>
      </c>
      <c r="F357" s="223" t="s">
        <v>630</v>
      </c>
      <c r="G357" s="248">
        <f t="shared" si="26"/>
        <v>100</v>
      </c>
    </row>
    <row r="358" spans="1:7" ht="20.25" customHeight="1">
      <c r="A358" s="215">
        <v>3</v>
      </c>
      <c r="B358" s="199" t="s">
        <v>58</v>
      </c>
      <c r="C358" s="203">
        <v>399.2</v>
      </c>
      <c r="D358" s="203">
        <v>399.2</v>
      </c>
      <c r="E358" s="155">
        <f t="shared" si="25"/>
        <v>0</v>
      </c>
      <c r="F358" s="223" t="s">
        <v>629</v>
      </c>
      <c r="G358" s="248">
        <f t="shared" si="26"/>
        <v>100</v>
      </c>
    </row>
    <row r="359" spans="1:7" ht="22.5" customHeight="1">
      <c r="A359" s="123">
        <v>4</v>
      </c>
      <c r="B359" s="199" t="s">
        <v>59</v>
      </c>
      <c r="C359" s="203">
        <v>326.9</v>
      </c>
      <c r="D359" s="203">
        <v>326.9</v>
      </c>
      <c r="E359" s="155">
        <f t="shared" si="25"/>
        <v>0</v>
      </c>
      <c r="F359" s="223" t="s">
        <v>684</v>
      </c>
      <c r="G359" s="248">
        <f t="shared" si="26"/>
        <v>100</v>
      </c>
    </row>
    <row r="360" spans="1:7" ht="17.25">
      <c r="A360" s="232" t="s">
        <v>32</v>
      </c>
      <c r="B360" s="282"/>
      <c r="C360" s="225">
        <v>2417.6</v>
      </c>
      <c r="D360" s="225">
        <f>D361</f>
        <v>2417.6</v>
      </c>
      <c r="E360" s="225">
        <f t="shared" si="25"/>
        <v>0</v>
      </c>
      <c r="F360" s="231"/>
      <c r="G360" s="249">
        <f t="shared" si="26"/>
        <v>100</v>
      </c>
    </row>
    <row r="361" spans="1:7" ht="21.75" customHeight="1">
      <c r="A361" s="216">
        <v>1</v>
      </c>
      <c r="B361" s="199" t="s">
        <v>60</v>
      </c>
      <c r="C361" s="186">
        <v>2417.6</v>
      </c>
      <c r="D361" s="186">
        <v>2417.6</v>
      </c>
      <c r="E361" s="155">
        <f t="shared" si="25"/>
        <v>0</v>
      </c>
      <c r="F361" s="223" t="s">
        <v>717</v>
      </c>
      <c r="G361" s="248">
        <f t="shared" si="26"/>
        <v>100</v>
      </c>
    </row>
    <row r="362" spans="1:7" ht="20.25" customHeight="1">
      <c r="A362" s="297" t="s">
        <v>33</v>
      </c>
      <c r="B362" s="297"/>
      <c r="C362" s="225">
        <v>1617.9</v>
      </c>
      <c r="D362" s="225">
        <f>SUM(D363:D368)</f>
        <v>1617.8</v>
      </c>
      <c r="E362" s="225">
        <f t="shared" si="25"/>
        <v>0.10000000000013642</v>
      </c>
      <c r="F362" s="231"/>
      <c r="G362" s="249">
        <f t="shared" si="26"/>
        <v>99.99381914827863</v>
      </c>
    </row>
    <row r="363" spans="1:7" ht="31.5" customHeight="1">
      <c r="A363" s="123">
        <v>1</v>
      </c>
      <c r="B363" s="199" t="s">
        <v>531</v>
      </c>
      <c r="C363" s="9">
        <v>1034.8</v>
      </c>
      <c r="D363" s="9">
        <v>1034.8</v>
      </c>
      <c r="E363" s="155">
        <f t="shared" si="25"/>
        <v>0</v>
      </c>
      <c r="F363" s="223" t="s">
        <v>654</v>
      </c>
      <c r="G363" s="248">
        <f t="shared" si="26"/>
        <v>100</v>
      </c>
    </row>
    <row r="364" spans="1:7" ht="33.75" customHeight="1">
      <c r="A364" s="123">
        <v>2</v>
      </c>
      <c r="B364" s="199" t="s">
        <v>222</v>
      </c>
      <c r="C364" s="9">
        <v>409</v>
      </c>
      <c r="D364" s="9">
        <v>408.9</v>
      </c>
      <c r="E364" s="155">
        <f t="shared" si="25"/>
        <v>0.10000000000002274</v>
      </c>
      <c r="F364" s="223" t="s">
        <v>654</v>
      </c>
      <c r="G364" s="248">
        <f t="shared" si="26"/>
        <v>99.97555012224937</v>
      </c>
    </row>
    <row r="365" spans="1:7" ht="33" customHeight="1">
      <c r="A365" s="123">
        <v>3</v>
      </c>
      <c r="B365" s="199" t="s">
        <v>223</v>
      </c>
      <c r="C365" s="89">
        <v>43</v>
      </c>
      <c r="D365" s="89">
        <v>43</v>
      </c>
      <c r="E365" s="155">
        <f t="shared" si="25"/>
        <v>0</v>
      </c>
      <c r="F365" s="223" t="s">
        <v>655</v>
      </c>
      <c r="G365" s="248">
        <f t="shared" si="26"/>
        <v>100</v>
      </c>
    </row>
    <row r="366" spans="1:7" ht="39" customHeight="1">
      <c r="A366" s="227">
        <v>4</v>
      </c>
      <c r="B366" s="228" t="s">
        <v>584</v>
      </c>
      <c r="C366" s="9">
        <v>36.7</v>
      </c>
      <c r="D366" s="9">
        <v>36.7</v>
      </c>
      <c r="E366" s="155">
        <f t="shared" si="25"/>
        <v>0</v>
      </c>
      <c r="F366" s="223" t="s">
        <v>655</v>
      </c>
      <c r="G366" s="248"/>
    </row>
    <row r="367" spans="1:7" ht="36" customHeight="1">
      <c r="A367" s="227">
        <v>5</v>
      </c>
      <c r="B367" s="228" t="s">
        <v>585</v>
      </c>
      <c r="C367" s="9">
        <v>36.7</v>
      </c>
      <c r="D367" s="9">
        <v>36.7</v>
      </c>
      <c r="E367" s="155">
        <f t="shared" si="25"/>
        <v>0</v>
      </c>
      <c r="F367" s="223" t="s">
        <v>655</v>
      </c>
      <c r="G367" s="248"/>
    </row>
    <row r="368" spans="1:7" ht="36.75" customHeight="1">
      <c r="A368" s="227">
        <v>6</v>
      </c>
      <c r="B368" s="228" t="s">
        <v>598</v>
      </c>
      <c r="C368" s="9">
        <v>57.7</v>
      </c>
      <c r="D368" s="9">
        <v>57.7</v>
      </c>
      <c r="E368" s="155">
        <f t="shared" si="25"/>
        <v>0</v>
      </c>
      <c r="F368" s="223" t="s">
        <v>655</v>
      </c>
      <c r="G368" s="248"/>
    </row>
    <row r="369" spans="1:7" ht="18.75" customHeight="1">
      <c r="A369" s="297" t="s">
        <v>34</v>
      </c>
      <c r="B369" s="297"/>
      <c r="C369" s="225">
        <v>1932.5</v>
      </c>
      <c r="D369" s="225">
        <f>SUM(D370:D371)</f>
        <v>1932.5</v>
      </c>
      <c r="E369" s="225">
        <f aca="true" t="shared" si="27" ref="E369:E401">C369-D369</f>
        <v>0</v>
      </c>
      <c r="F369" s="231"/>
      <c r="G369" s="249">
        <f aca="true" t="shared" si="28" ref="G369:G401">D369/C369*100</f>
        <v>100</v>
      </c>
    </row>
    <row r="370" spans="1:7" ht="34.5" customHeight="1">
      <c r="A370" s="123">
        <v>1</v>
      </c>
      <c r="B370" s="200" t="s">
        <v>66</v>
      </c>
      <c r="C370" s="89">
        <v>1843.7</v>
      </c>
      <c r="D370" s="89">
        <v>1843.7</v>
      </c>
      <c r="E370" s="155">
        <f t="shared" si="27"/>
        <v>0</v>
      </c>
      <c r="F370" s="223" t="s">
        <v>668</v>
      </c>
      <c r="G370" s="248">
        <f t="shared" si="28"/>
        <v>100</v>
      </c>
    </row>
    <row r="371" spans="1:7" ht="36.75" customHeight="1">
      <c r="A371" s="123">
        <v>2</v>
      </c>
      <c r="B371" s="200" t="s">
        <v>528</v>
      </c>
      <c r="C371" s="89">
        <v>88.8</v>
      </c>
      <c r="D371" s="89">
        <v>88.8</v>
      </c>
      <c r="E371" s="155">
        <f t="shared" si="27"/>
        <v>0</v>
      </c>
      <c r="F371" s="223" t="s">
        <v>669</v>
      </c>
      <c r="G371" s="248">
        <f t="shared" si="28"/>
        <v>100</v>
      </c>
    </row>
    <row r="372" spans="1:7" ht="21" customHeight="1">
      <c r="A372" s="232" t="s">
        <v>35</v>
      </c>
      <c r="B372" s="282"/>
      <c r="C372" s="225">
        <v>1607.6</v>
      </c>
      <c r="D372" s="225">
        <f>SUM(D373:D374)</f>
        <v>1607.6000000000001</v>
      </c>
      <c r="E372" s="225">
        <f t="shared" si="27"/>
        <v>0</v>
      </c>
      <c r="F372" s="231"/>
      <c r="G372" s="249">
        <f t="shared" si="28"/>
        <v>100.00000000000003</v>
      </c>
    </row>
    <row r="373" spans="1:7" ht="21" customHeight="1">
      <c r="A373" s="123">
        <v>1</v>
      </c>
      <c r="B373" s="200" t="s">
        <v>75</v>
      </c>
      <c r="C373" s="89">
        <v>1296.4</v>
      </c>
      <c r="D373" s="89">
        <v>1296.4</v>
      </c>
      <c r="E373" s="155">
        <f t="shared" si="27"/>
        <v>0</v>
      </c>
      <c r="F373" s="223" t="s">
        <v>710</v>
      </c>
      <c r="G373" s="248">
        <f t="shared" si="28"/>
        <v>100</v>
      </c>
    </row>
    <row r="374" spans="1:7" ht="37.5" customHeight="1">
      <c r="A374" s="123">
        <v>2</v>
      </c>
      <c r="B374" s="200" t="s">
        <v>483</v>
      </c>
      <c r="C374" s="89">
        <v>311.2</v>
      </c>
      <c r="D374" s="89">
        <v>311.2</v>
      </c>
      <c r="E374" s="155">
        <f t="shared" si="27"/>
        <v>0</v>
      </c>
      <c r="F374" s="223" t="s">
        <v>711</v>
      </c>
      <c r="G374" s="248">
        <f t="shared" si="28"/>
        <v>100</v>
      </c>
    </row>
    <row r="375" spans="1:7" ht="23.25" customHeight="1">
      <c r="A375" s="297" t="s">
        <v>36</v>
      </c>
      <c r="B375" s="297"/>
      <c r="C375" s="225">
        <v>1105.3</v>
      </c>
      <c r="D375" s="225">
        <f>SUM(D376:D377)</f>
        <v>1105.3</v>
      </c>
      <c r="E375" s="225">
        <f t="shared" si="27"/>
        <v>0</v>
      </c>
      <c r="F375" s="231"/>
      <c r="G375" s="249">
        <f t="shared" si="28"/>
        <v>100</v>
      </c>
    </row>
    <row r="376" spans="1:7" ht="31.5" customHeight="1">
      <c r="A376" s="215">
        <v>1</v>
      </c>
      <c r="B376" s="199" t="s">
        <v>68</v>
      </c>
      <c r="C376" s="89">
        <v>519.3</v>
      </c>
      <c r="D376" s="89">
        <v>519.3</v>
      </c>
      <c r="E376" s="155">
        <f t="shared" si="27"/>
        <v>0</v>
      </c>
      <c r="F376" s="223" t="s">
        <v>712</v>
      </c>
      <c r="G376" s="248">
        <f t="shared" si="28"/>
        <v>100</v>
      </c>
    </row>
    <row r="377" spans="1:7" ht="33" customHeight="1">
      <c r="A377" s="215">
        <v>2</v>
      </c>
      <c r="B377" s="205" t="s">
        <v>69</v>
      </c>
      <c r="C377" s="89">
        <v>586</v>
      </c>
      <c r="D377" s="89">
        <v>586</v>
      </c>
      <c r="E377" s="155">
        <f t="shared" si="27"/>
        <v>0</v>
      </c>
      <c r="F377" s="223" t="s">
        <v>713</v>
      </c>
      <c r="G377" s="248">
        <f t="shared" si="28"/>
        <v>100</v>
      </c>
    </row>
    <row r="378" spans="1:7" ht="19.5" customHeight="1">
      <c r="A378" s="297" t="s">
        <v>37</v>
      </c>
      <c r="B378" s="297"/>
      <c r="C378" s="225">
        <v>2774.8</v>
      </c>
      <c r="D378" s="225">
        <f>SUM(D379:D395)</f>
        <v>2774.8</v>
      </c>
      <c r="E378" s="225">
        <f t="shared" si="27"/>
        <v>0</v>
      </c>
      <c r="F378" s="231"/>
      <c r="G378" s="249">
        <f t="shared" si="28"/>
        <v>100</v>
      </c>
    </row>
    <row r="379" spans="1:7" ht="34.5" customHeight="1">
      <c r="A379" s="217">
        <v>1</v>
      </c>
      <c r="B379" s="212" t="s">
        <v>224</v>
      </c>
      <c r="C379" s="89">
        <v>200</v>
      </c>
      <c r="D379" s="89">
        <v>200</v>
      </c>
      <c r="E379" s="155">
        <f t="shared" si="27"/>
        <v>0</v>
      </c>
      <c r="F379" s="223" t="s">
        <v>714</v>
      </c>
      <c r="G379" s="248">
        <f t="shared" si="28"/>
        <v>100</v>
      </c>
    </row>
    <row r="380" spans="1:7" ht="32.25" customHeight="1">
      <c r="A380" s="217">
        <v>2</v>
      </c>
      <c r="B380" s="212" t="s">
        <v>406</v>
      </c>
      <c r="C380" s="89">
        <v>200</v>
      </c>
      <c r="D380" s="89">
        <v>200</v>
      </c>
      <c r="E380" s="155">
        <f t="shared" si="27"/>
        <v>0</v>
      </c>
      <c r="F380" s="223" t="s">
        <v>714</v>
      </c>
      <c r="G380" s="248">
        <f t="shared" si="28"/>
        <v>100</v>
      </c>
    </row>
    <row r="381" spans="1:7" ht="20.25" customHeight="1">
      <c r="A381" s="217">
        <v>3</v>
      </c>
      <c r="B381" s="212" t="s">
        <v>225</v>
      </c>
      <c r="C381" s="89">
        <v>200</v>
      </c>
      <c r="D381" s="89">
        <v>200</v>
      </c>
      <c r="E381" s="155">
        <f t="shared" si="27"/>
        <v>0</v>
      </c>
      <c r="F381" s="223" t="s">
        <v>714</v>
      </c>
      <c r="G381" s="248">
        <f t="shared" si="28"/>
        <v>100</v>
      </c>
    </row>
    <row r="382" spans="1:7" ht="18.75" customHeight="1">
      <c r="A382" s="217">
        <v>4</v>
      </c>
      <c r="B382" s="212" t="s">
        <v>407</v>
      </c>
      <c r="C382" s="89">
        <v>200</v>
      </c>
      <c r="D382" s="89">
        <v>200</v>
      </c>
      <c r="E382" s="155">
        <f t="shared" si="27"/>
        <v>0</v>
      </c>
      <c r="F382" s="223" t="s">
        <v>714</v>
      </c>
      <c r="G382" s="248">
        <f t="shared" si="28"/>
        <v>100</v>
      </c>
    </row>
    <row r="383" spans="1:7" ht="48" customHeight="1">
      <c r="A383" s="217">
        <v>5</v>
      </c>
      <c r="B383" s="212" t="s">
        <v>226</v>
      </c>
      <c r="C383" s="89">
        <v>238.7</v>
      </c>
      <c r="D383" s="89">
        <v>238.7</v>
      </c>
      <c r="E383" s="155">
        <f t="shared" si="27"/>
        <v>0</v>
      </c>
      <c r="F383" s="223" t="s">
        <v>714</v>
      </c>
      <c r="G383" s="248">
        <f t="shared" si="28"/>
        <v>100</v>
      </c>
    </row>
    <row r="384" spans="1:7" ht="33.75" customHeight="1">
      <c r="A384" s="123">
        <v>6</v>
      </c>
      <c r="B384" s="218" t="s">
        <v>229</v>
      </c>
      <c r="C384" s="89">
        <v>100</v>
      </c>
      <c r="D384" s="89">
        <v>100</v>
      </c>
      <c r="E384" s="155">
        <f t="shared" si="27"/>
        <v>0</v>
      </c>
      <c r="F384" s="223" t="s">
        <v>714</v>
      </c>
      <c r="G384" s="248">
        <f t="shared" si="28"/>
        <v>100</v>
      </c>
    </row>
    <row r="385" spans="1:7" ht="35.25" customHeight="1">
      <c r="A385" s="123">
        <v>7</v>
      </c>
      <c r="B385" s="218" t="s">
        <v>228</v>
      </c>
      <c r="C385" s="89">
        <v>100</v>
      </c>
      <c r="D385" s="89">
        <v>100</v>
      </c>
      <c r="E385" s="155">
        <f t="shared" si="27"/>
        <v>0</v>
      </c>
      <c r="F385" s="223" t="s">
        <v>714</v>
      </c>
      <c r="G385" s="248">
        <f t="shared" si="28"/>
        <v>100</v>
      </c>
    </row>
    <row r="386" spans="1:7" ht="30.75" customHeight="1">
      <c r="A386" s="123">
        <v>8</v>
      </c>
      <c r="B386" s="218" t="s">
        <v>227</v>
      </c>
      <c r="C386" s="89">
        <v>100</v>
      </c>
      <c r="D386" s="89">
        <v>100</v>
      </c>
      <c r="E386" s="155">
        <f t="shared" si="27"/>
        <v>0</v>
      </c>
      <c r="F386" s="223" t="s">
        <v>714</v>
      </c>
      <c r="G386" s="248">
        <f t="shared" si="28"/>
        <v>100</v>
      </c>
    </row>
    <row r="387" spans="1:7" ht="31.5" customHeight="1">
      <c r="A387" s="123">
        <v>9</v>
      </c>
      <c r="B387" s="218" t="s">
        <v>230</v>
      </c>
      <c r="C387" s="89">
        <v>200</v>
      </c>
      <c r="D387" s="89">
        <v>200</v>
      </c>
      <c r="E387" s="155">
        <f t="shared" si="27"/>
        <v>0</v>
      </c>
      <c r="F387" s="223" t="s">
        <v>714</v>
      </c>
      <c r="G387" s="248">
        <f t="shared" si="28"/>
        <v>100</v>
      </c>
    </row>
    <row r="388" spans="1:7" ht="29.25" customHeight="1">
      <c r="A388" s="123">
        <v>10</v>
      </c>
      <c r="B388" s="218" t="s">
        <v>231</v>
      </c>
      <c r="C388" s="89">
        <v>200</v>
      </c>
      <c r="D388" s="89">
        <v>200</v>
      </c>
      <c r="E388" s="155">
        <f t="shared" si="27"/>
        <v>0</v>
      </c>
      <c r="F388" s="223" t="s">
        <v>714</v>
      </c>
      <c r="G388" s="248">
        <f t="shared" si="28"/>
        <v>100</v>
      </c>
    </row>
    <row r="389" spans="1:7" ht="33" customHeight="1">
      <c r="A389" s="123">
        <v>11</v>
      </c>
      <c r="B389" s="218" t="s">
        <v>232</v>
      </c>
      <c r="C389" s="89">
        <v>200</v>
      </c>
      <c r="D389" s="89">
        <v>200</v>
      </c>
      <c r="E389" s="155">
        <f t="shared" si="27"/>
        <v>0</v>
      </c>
      <c r="F389" s="223" t="s">
        <v>714</v>
      </c>
      <c r="G389" s="248">
        <f t="shared" si="28"/>
        <v>100</v>
      </c>
    </row>
    <row r="390" spans="1:7" ht="36.75" customHeight="1">
      <c r="A390" s="123">
        <v>12</v>
      </c>
      <c r="B390" s="218" t="s">
        <v>233</v>
      </c>
      <c r="C390" s="89">
        <v>100</v>
      </c>
      <c r="D390" s="89">
        <v>100</v>
      </c>
      <c r="E390" s="155">
        <f t="shared" si="27"/>
        <v>0</v>
      </c>
      <c r="F390" s="223" t="s">
        <v>714</v>
      </c>
      <c r="G390" s="248">
        <f t="shared" si="28"/>
        <v>100</v>
      </c>
    </row>
    <row r="391" spans="1:7" ht="33">
      <c r="A391" s="215">
        <v>13</v>
      </c>
      <c r="B391" s="218" t="s">
        <v>510</v>
      </c>
      <c r="C391" s="219">
        <v>100</v>
      </c>
      <c r="D391" s="219">
        <v>100</v>
      </c>
      <c r="E391" s="155">
        <f t="shared" si="27"/>
        <v>0</v>
      </c>
      <c r="F391" s="223" t="s">
        <v>714</v>
      </c>
      <c r="G391" s="248">
        <f t="shared" si="28"/>
        <v>100</v>
      </c>
    </row>
    <row r="392" spans="1:7" ht="35.25" customHeight="1">
      <c r="A392" s="215">
        <v>14</v>
      </c>
      <c r="B392" s="220" t="s">
        <v>234</v>
      </c>
      <c r="C392" s="219">
        <v>200</v>
      </c>
      <c r="D392" s="219">
        <v>200</v>
      </c>
      <c r="E392" s="155">
        <f t="shared" si="27"/>
        <v>0</v>
      </c>
      <c r="F392" s="223" t="s">
        <v>714</v>
      </c>
      <c r="G392" s="248">
        <f t="shared" si="28"/>
        <v>100</v>
      </c>
    </row>
    <row r="393" spans="1:7" ht="69" customHeight="1">
      <c r="A393" s="215">
        <v>15</v>
      </c>
      <c r="B393" s="220" t="s">
        <v>235</v>
      </c>
      <c r="C393" s="219">
        <v>183.5</v>
      </c>
      <c r="D393" s="219">
        <v>183.5</v>
      </c>
      <c r="E393" s="155">
        <f t="shared" si="27"/>
        <v>0</v>
      </c>
      <c r="F393" s="223" t="s">
        <v>714</v>
      </c>
      <c r="G393" s="248">
        <f t="shared" si="28"/>
        <v>100</v>
      </c>
    </row>
    <row r="394" spans="1:7" ht="53.25" customHeight="1">
      <c r="A394" s="215">
        <v>16</v>
      </c>
      <c r="B394" s="220" t="s">
        <v>236</v>
      </c>
      <c r="C394" s="219">
        <v>172.3</v>
      </c>
      <c r="D394" s="219">
        <v>172.3</v>
      </c>
      <c r="E394" s="155">
        <f t="shared" si="27"/>
        <v>0</v>
      </c>
      <c r="F394" s="223" t="s">
        <v>714</v>
      </c>
      <c r="G394" s="248">
        <f t="shared" si="28"/>
        <v>100</v>
      </c>
    </row>
    <row r="395" spans="1:7" ht="34.5" customHeight="1">
      <c r="A395" s="215">
        <v>17</v>
      </c>
      <c r="B395" s="218" t="s">
        <v>500</v>
      </c>
      <c r="C395" s="219">
        <v>80.3</v>
      </c>
      <c r="D395" s="219">
        <v>80.3</v>
      </c>
      <c r="E395" s="155">
        <f t="shared" si="27"/>
        <v>0</v>
      </c>
      <c r="F395" s="223" t="s">
        <v>714</v>
      </c>
      <c r="G395" s="248">
        <f t="shared" si="28"/>
        <v>100</v>
      </c>
    </row>
    <row r="396" spans="1:7" ht="18.75" customHeight="1">
      <c r="A396" s="232" t="s">
        <v>38</v>
      </c>
      <c r="B396" s="282"/>
      <c r="C396" s="225">
        <v>3511.3</v>
      </c>
      <c r="D396" s="225">
        <f>D397+D398</f>
        <v>3511.3</v>
      </c>
      <c r="E396" s="225">
        <f t="shared" si="27"/>
        <v>0</v>
      </c>
      <c r="F396" s="231"/>
      <c r="G396" s="249">
        <f t="shared" si="28"/>
        <v>100</v>
      </c>
    </row>
    <row r="397" spans="1:7" ht="62.25" customHeight="1">
      <c r="A397" s="123">
        <v>1</v>
      </c>
      <c r="B397" s="200" t="s">
        <v>471</v>
      </c>
      <c r="C397" s="9">
        <v>3370.8</v>
      </c>
      <c r="D397" s="89">
        <v>3370.8</v>
      </c>
      <c r="E397" s="155">
        <f t="shared" si="27"/>
        <v>0</v>
      </c>
      <c r="F397" s="223" t="s">
        <v>635</v>
      </c>
      <c r="G397" s="248">
        <f t="shared" si="28"/>
        <v>100</v>
      </c>
    </row>
    <row r="398" spans="1:7" ht="33" customHeight="1">
      <c r="A398" s="227">
        <v>2</v>
      </c>
      <c r="B398" s="224" t="s">
        <v>599</v>
      </c>
      <c r="C398" s="9">
        <v>140.5</v>
      </c>
      <c r="D398" s="89">
        <v>140.5</v>
      </c>
      <c r="E398" s="155">
        <f t="shared" si="27"/>
        <v>0</v>
      </c>
      <c r="F398" s="223" t="s">
        <v>635</v>
      </c>
      <c r="G398" s="248">
        <f t="shared" si="28"/>
        <v>100</v>
      </c>
    </row>
    <row r="399" spans="1:7" ht="17.25">
      <c r="A399" s="297" t="s">
        <v>39</v>
      </c>
      <c r="B399" s="297"/>
      <c r="C399" s="225">
        <v>1925.2</v>
      </c>
      <c r="D399" s="225">
        <f>SUM(D400:D401)</f>
        <v>1925.2</v>
      </c>
      <c r="E399" s="225">
        <f t="shared" si="27"/>
        <v>0</v>
      </c>
      <c r="F399" s="231"/>
      <c r="G399" s="249">
        <f t="shared" si="28"/>
        <v>100</v>
      </c>
    </row>
    <row r="400" spans="1:7" ht="30.75" customHeight="1">
      <c r="A400" s="123">
        <v>1</v>
      </c>
      <c r="B400" s="199" t="s">
        <v>586</v>
      </c>
      <c r="C400" s="186">
        <v>425.2</v>
      </c>
      <c r="D400" s="186">
        <v>425.2</v>
      </c>
      <c r="E400" s="155">
        <f t="shared" si="27"/>
        <v>0</v>
      </c>
      <c r="F400" s="223" t="s">
        <v>715</v>
      </c>
      <c r="G400" s="248">
        <f t="shared" si="28"/>
        <v>100</v>
      </c>
    </row>
    <row r="401" spans="1:7" ht="30" customHeight="1">
      <c r="A401" s="123">
        <v>2</v>
      </c>
      <c r="B401" s="205" t="s">
        <v>62</v>
      </c>
      <c r="C401" s="186">
        <v>1500</v>
      </c>
      <c r="D401" s="186">
        <v>1500</v>
      </c>
      <c r="E401" s="155">
        <f t="shared" si="27"/>
        <v>0</v>
      </c>
      <c r="F401" s="223" t="s">
        <v>716</v>
      </c>
      <c r="G401" s="248">
        <f t="shared" si="28"/>
        <v>100</v>
      </c>
    </row>
    <row r="402" spans="1:7" ht="17.25">
      <c r="A402" s="297" t="s">
        <v>40</v>
      </c>
      <c r="B402" s="297"/>
      <c r="C402" s="225">
        <f>C403+C422+C426</f>
        <v>9541.300000000003</v>
      </c>
      <c r="D402" s="225">
        <f>D403+D422+D426</f>
        <v>9534.020000000002</v>
      </c>
      <c r="E402" s="225">
        <f aca="true" t="shared" si="29" ref="E402:E435">C402-D402</f>
        <v>7.280000000000655</v>
      </c>
      <c r="F402" s="231"/>
      <c r="G402" s="249">
        <f aca="true" t="shared" si="30" ref="G402:G435">D402/C402*100</f>
        <v>99.92370012472094</v>
      </c>
    </row>
    <row r="403" spans="1:7" ht="18" customHeight="1">
      <c r="A403" s="123"/>
      <c r="B403" s="206" t="s">
        <v>41</v>
      </c>
      <c r="C403" s="155">
        <f>SUM(C404:C421)</f>
        <v>8121.9000000000015</v>
      </c>
      <c r="D403" s="155">
        <f>SUM(D404:D421)</f>
        <v>8121.700000000001</v>
      </c>
      <c r="E403" s="155">
        <f t="shared" si="29"/>
        <v>0.2000000000007276</v>
      </c>
      <c r="F403" s="223"/>
      <c r="G403" s="248">
        <f t="shared" si="30"/>
        <v>99.99753752200839</v>
      </c>
    </row>
    <row r="404" spans="1:7" ht="48" customHeight="1">
      <c r="A404" s="123">
        <v>1</v>
      </c>
      <c r="B404" s="199" t="s">
        <v>600</v>
      </c>
      <c r="C404" s="186">
        <v>983.6</v>
      </c>
      <c r="D404" s="186">
        <v>983.6</v>
      </c>
      <c r="E404" s="155">
        <f t="shared" si="29"/>
        <v>0</v>
      </c>
      <c r="F404" s="223" t="s">
        <v>718</v>
      </c>
      <c r="G404" s="248">
        <f t="shared" si="30"/>
        <v>100</v>
      </c>
    </row>
    <row r="405" spans="1:7" ht="37.5" customHeight="1">
      <c r="A405" s="123">
        <v>2</v>
      </c>
      <c r="B405" s="199" t="s">
        <v>371</v>
      </c>
      <c r="C405" s="186">
        <v>330</v>
      </c>
      <c r="D405" s="186">
        <v>330</v>
      </c>
      <c r="E405" s="155">
        <f t="shared" si="29"/>
        <v>0</v>
      </c>
      <c r="F405" s="223" t="s">
        <v>719</v>
      </c>
      <c r="G405" s="248">
        <f t="shared" si="30"/>
        <v>100</v>
      </c>
    </row>
    <row r="406" spans="1:7" ht="32.25" customHeight="1">
      <c r="A406" s="123">
        <v>3</v>
      </c>
      <c r="B406" s="199" t="s">
        <v>369</v>
      </c>
      <c r="C406" s="186">
        <v>730.9</v>
      </c>
      <c r="D406" s="186">
        <v>730.9</v>
      </c>
      <c r="E406" s="155">
        <f t="shared" si="29"/>
        <v>0</v>
      </c>
      <c r="F406" s="223" t="s">
        <v>720</v>
      </c>
      <c r="G406" s="248">
        <f t="shared" si="30"/>
        <v>100</v>
      </c>
    </row>
    <row r="407" spans="1:7" ht="31.5" customHeight="1">
      <c r="A407" s="123">
        <v>4</v>
      </c>
      <c r="B407" s="199" t="s">
        <v>370</v>
      </c>
      <c r="C407" s="219">
        <v>314.3</v>
      </c>
      <c r="D407" s="219">
        <v>314.3</v>
      </c>
      <c r="E407" s="155">
        <f t="shared" si="29"/>
        <v>0</v>
      </c>
      <c r="F407" s="223" t="s">
        <v>721</v>
      </c>
      <c r="G407" s="248">
        <f t="shared" si="30"/>
        <v>100</v>
      </c>
    </row>
    <row r="408" spans="1:7" ht="31.5" customHeight="1">
      <c r="A408" s="123">
        <v>5</v>
      </c>
      <c r="B408" s="199" t="s">
        <v>373</v>
      </c>
      <c r="C408" s="219">
        <v>325.4</v>
      </c>
      <c r="D408" s="219">
        <v>325.4</v>
      </c>
      <c r="E408" s="155">
        <f t="shared" si="29"/>
        <v>0</v>
      </c>
      <c r="F408" s="223" t="s">
        <v>722</v>
      </c>
      <c r="G408" s="248">
        <f t="shared" si="30"/>
        <v>100</v>
      </c>
    </row>
    <row r="409" spans="1:7" ht="34.5" customHeight="1">
      <c r="A409" s="123">
        <v>6</v>
      </c>
      <c r="B409" s="199" t="s">
        <v>374</v>
      </c>
      <c r="C409" s="219">
        <v>170</v>
      </c>
      <c r="D409" s="219">
        <v>170</v>
      </c>
      <c r="E409" s="155">
        <f t="shared" si="29"/>
        <v>0</v>
      </c>
      <c r="F409" s="223" t="s">
        <v>723</v>
      </c>
      <c r="G409" s="248">
        <f t="shared" si="30"/>
        <v>100</v>
      </c>
    </row>
    <row r="410" spans="1:7" ht="35.25" customHeight="1">
      <c r="A410" s="123">
        <v>7</v>
      </c>
      <c r="B410" s="199" t="s">
        <v>375</v>
      </c>
      <c r="C410" s="219">
        <v>170</v>
      </c>
      <c r="D410" s="219">
        <v>170</v>
      </c>
      <c r="E410" s="155">
        <f t="shared" si="29"/>
        <v>0</v>
      </c>
      <c r="F410" s="223" t="s">
        <v>723</v>
      </c>
      <c r="G410" s="248">
        <f t="shared" si="30"/>
        <v>100</v>
      </c>
    </row>
    <row r="411" spans="1:7" ht="32.25" customHeight="1">
      <c r="A411" s="123">
        <v>8</v>
      </c>
      <c r="B411" s="205" t="s">
        <v>372</v>
      </c>
      <c r="C411" s="219">
        <v>170</v>
      </c>
      <c r="D411" s="219">
        <v>170</v>
      </c>
      <c r="E411" s="155">
        <f t="shared" si="29"/>
        <v>0</v>
      </c>
      <c r="F411" s="223" t="s">
        <v>723</v>
      </c>
      <c r="G411" s="248">
        <f t="shared" si="30"/>
        <v>100</v>
      </c>
    </row>
    <row r="412" spans="1:7" ht="33" customHeight="1">
      <c r="A412" s="123">
        <v>9</v>
      </c>
      <c r="B412" s="199" t="s">
        <v>376</v>
      </c>
      <c r="C412" s="219">
        <v>170</v>
      </c>
      <c r="D412" s="219">
        <v>170</v>
      </c>
      <c r="E412" s="155">
        <f t="shared" si="29"/>
        <v>0</v>
      </c>
      <c r="F412" s="223" t="s">
        <v>723</v>
      </c>
      <c r="G412" s="248">
        <f t="shared" si="30"/>
        <v>100</v>
      </c>
    </row>
    <row r="413" spans="1:7" ht="50.25" customHeight="1">
      <c r="A413" s="123">
        <v>10</v>
      </c>
      <c r="B413" s="199" t="s">
        <v>377</v>
      </c>
      <c r="C413" s="219">
        <v>665.8</v>
      </c>
      <c r="D413" s="219">
        <v>665.8</v>
      </c>
      <c r="E413" s="155">
        <f t="shared" si="29"/>
        <v>0</v>
      </c>
      <c r="F413" s="223" t="s">
        <v>724</v>
      </c>
      <c r="G413" s="248">
        <f t="shared" si="30"/>
        <v>100</v>
      </c>
    </row>
    <row r="414" spans="1:7" ht="33.75" customHeight="1">
      <c r="A414" s="123">
        <v>11</v>
      </c>
      <c r="B414" s="199" t="s">
        <v>378</v>
      </c>
      <c r="C414" s="219">
        <v>380</v>
      </c>
      <c r="D414" s="219">
        <v>380</v>
      </c>
      <c r="E414" s="155">
        <f t="shared" si="29"/>
        <v>0</v>
      </c>
      <c r="F414" s="223" t="s">
        <v>725</v>
      </c>
      <c r="G414" s="248">
        <f t="shared" si="30"/>
        <v>100</v>
      </c>
    </row>
    <row r="415" spans="1:7" ht="50.25" customHeight="1">
      <c r="A415" s="123">
        <v>12</v>
      </c>
      <c r="B415" s="199" t="s">
        <v>379</v>
      </c>
      <c r="C415" s="26">
        <v>900</v>
      </c>
      <c r="D415" s="219">
        <v>899.9</v>
      </c>
      <c r="E415" s="155">
        <f t="shared" si="29"/>
        <v>0.10000000000002274</v>
      </c>
      <c r="F415" s="223" t="s">
        <v>726</v>
      </c>
      <c r="G415" s="248">
        <f t="shared" si="30"/>
        <v>99.98888888888888</v>
      </c>
    </row>
    <row r="416" spans="1:7" ht="45" customHeight="1">
      <c r="A416" s="123">
        <v>13</v>
      </c>
      <c r="B416" s="199" t="s">
        <v>380</v>
      </c>
      <c r="C416" s="26">
        <v>205.1</v>
      </c>
      <c r="D416" s="219">
        <v>205</v>
      </c>
      <c r="E416" s="155">
        <f t="shared" si="29"/>
        <v>0.09999999999999432</v>
      </c>
      <c r="F416" s="223" t="s">
        <v>727</v>
      </c>
      <c r="G416" s="248">
        <f t="shared" si="30"/>
        <v>99.95124329595319</v>
      </c>
    </row>
    <row r="417" spans="1:7" ht="33.75" customHeight="1">
      <c r="A417" s="123">
        <v>14</v>
      </c>
      <c r="B417" s="199" t="s">
        <v>381</v>
      </c>
      <c r="C417" s="26">
        <v>1182</v>
      </c>
      <c r="D417" s="26">
        <v>1182</v>
      </c>
      <c r="E417" s="155">
        <f t="shared" si="29"/>
        <v>0</v>
      </c>
      <c r="F417" s="223" t="s">
        <v>729</v>
      </c>
      <c r="G417" s="248">
        <f t="shared" si="30"/>
        <v>100</v>
      </c>
    </row>
    <row r="418" spans="1:7" ht="30" customHeight="1">
      <c r="A418" s="123">
        <v>15</v>
      </c>
      <c r="B418" s="199" t="s">
        <v>382</v>
      </c>
      <c r="C418" s="27">
        <v>289.8</v>
      </c>
      <c r="D418" s="214">
        <v>289.8</v>
      </c>
      <c r="E418" s="155">
        <f t="shared" si="29"/>
        <v>0</v>
      </c>
      <c r="F418" s="223" t="s">
        <v>730</v>
      </c>
      <c r="G418" s="248">
        <f t="shared" si="30"/>
        <v>100</v>
      </c>
    </row>
    <row r="419" spans="1:7" ht="51" customHeight="1">
      <c r="A419" s="123">
        <v>16</v>
      </c>
      <c r="B419" s="199" t="s">
        <v>383</v>
      </c>
      <c r="C419" s="214">
        <v>284.1</v>
      </c>
      <c r="D419" s="214">
        <v>284.1</v>
      </c>
      <c r="E419" s="155">
        <f t="shared" si="29"/>
        <v>0</v>
      </c>
      <c r="F419" s="223" t="s">
        <v>728</v>
      </c>
      <c r="G419" s="248">
        <f t="shared" si="30"/>
        <v>100</v>
      </c>
    </row>
    <row r="420" spans="1:7" ht="48.75" customHeight="1">
      <c r="A420" s="123">
        <v>17</v>
      </c>
      <c r="B420" s="199" t="s">
        <v>384</v>
      </c>
      <c r="C420" s="214">
        <v>492.8</v>
      </c>
      <c r="D420" s="214">
        <v>492.8</v>
      </c>
      <c r="E420" s="155">
        <f t="shared" si="29"/>
        <v>0</v>
      </c>
      <c r="F420" s="229" t="s">
        <v>728</v>
      </c>
      <c r="G420" s="248">
        <f t="shared" si="30"/>
        <v>100</v>
      </c>
    </row>
    <row r="421" spans="1:7" ht="33" customHeight="1">
      <c r="A421" s="227">
        <v>18</v>
      </c>
      <c r="B421" s="228" t="s">
        <v>601</v>
      </c>
      <c r="C421" s="27">
        <v>358.1</v>
      </c>
      <c r="D421" s="27">
        <v>358.1</v>
      </c>
      <c r="E421" s="155">
        <f t="shared" si="29"/>
        <v>0</v>
      </c>
      <c r="F421" s="223" t="s">
        <v>731</v>
      </c>
      <c r="G421" s="248">
        <f t="shared" si="30"/>
        <v>100</v>
      </c>
    </row>
    <row r="422" spans="1:7" ht="21" customHeight="1">
      <c r="A422" s="123"/>
      <c r="B422" s="206" t="s">
        <v>11</v>
      </c>
      <c r="C422" s="155">
        <f>SUM(C423:C425)</f>
        <v>556.2</v>
      </c>
      <c r="D422" s="155">
        <f>SUM(D423:D425)</f>
        <v>555.2</v>
      </c>
      <c r="E422" s="155">
        <f t="shared" si="29"/>
        <v>1</v>
      </c>
      <c r="F422" s="223"/>
      <c r="G422" s="248">
        <f t="shared" si="30"/>
        <v>99.82020855807264</v>
      </c>
    </row>
    <row r="423" spans="1:7" ht="49.5" customHeight="1">
      <c r="A423" s="123">
        <v>1</v>
      </c>
      <c r="B423" s="199" t="s">
        <v>387</v>
      </c>
      <c r="C423" s="186">
        <v>200</v>
      </c>
      <c r="D423" s="186">
        <v>199.1</v>
      </c>
      <c r="E423" s="155">
        <f t="shared" si="29"/>
        <v>0.9000000000000057</v>
      </c>
      <c r="F423" s="223" t="s">
        <v>733</v>
      </c>
      <c r="G423" s="248">
        <f t="shared" si="30"/>
        <v>99.55</v>
      </c>
    </row>
    <row r="424" spans="1:7" ht="36" customHeight="1">
      <c r="A424" s="123">
        <v>2</v>
      </c>
      <c r="B424" s="199" t="s">
        <v>385</v>
      </c>
      <c r="C424" s="17">
        <v>98.9</v>
      </c>
      <c r="D424" s="186">
        <v>98.8</v>
      </c>
      <c r="E424" s="155">
        <f t="shared" si="29"/>
        <v>0.10000000000000853</v>
      </c>
      <c r="F424" s="223" t="s">
        <v>734</v>
      </c>
      <c r="G424" s="248">
        <f t="shared" si="30"/>
        <v>99.8988877654196</v>
      </c>
    </row>
    <row r="425" spans="1:7" ht="48" customHeight="1">
      <c r="A425" s="123">
        <v>3</v>
      </c>
      <c r="B425" s="199" t="s">
        <v>386</v>
      </c>
      <c r="C425" s="17">
        <v>257.3</v>
      </c>
      <c r="D425" s="186">
        <v>257.3</v>
      </c>
      <c r="E425" s="155">
        <f t="shared" si="29"/>
        <v>0</v>
      </c>
      <c r="F425" s="223" t="s">
        <v>732</v>
      </c>
      <c r="G425" s="248">
        <f t="shared" si="30"/>
        <v>100</v>
      </c>
    </row>
    <row r="426" spans="1:7" ht="23.25" customHeight="1">
      <c r="A426" s="123"/>
      <c r="B426" s="206" t="s">
        <v>14</v>
      </c>
      <c r="C426" s="155">
        <f>SUM(C427:C429)</f>
        <v>863.2</v>
      </c>
      <c r="D426" s="155">
        <f>SUM(D427:D429)</f>
        <v>857.12</v>
      </c>
      <c r="E426" s="155">
        <f t="shared" si="29"/>
        <v>6.080000000000041</v>
      </c>
      <c r="F426" s="223"/>
      <c r="G426" s="248">
        <f t="shared" si="30"/>
        <v>99.29564411492122</v>
      </c>
    </row>
    <row r="427" spans="1:7" ht="45.75" customHeight="1">
      <c r="A427" s="123">
        <v>1</v>
      </c>
      <c r="B427" s="199" t="s">
        <v>388</v>
      </c>
      <c r="C427" s="186">
        <v>247.1</v>
      </c>
      <c r="D427" s="186">
        <v>241.02</v>
      </c>
      <c r="E427" s="155">
        <f t="shared" si="29"/>
        <v>6.079999999999984</v>
      </c>
      <c r="F427" s="291" t="s">
        <v>735</v>
      </c>
      <c r="G427" s="248">
        <f t="shared" si="30"/>
        <v>97.53945770942939</v>
      </c>
    </row>
    <row r="428" spans="1:7" ht="36" customHeight="1">
      <c r="A428" s="123">
        <v>2</v>
      </c>
      <c r="B428" s="199" t="s">
        <v>417</v>
      </c>
      <c r="C428" s="17">
        <v>588.6</v>
      </c>
      <c r="D428" s="186">
        <v>588.6</v>
      </c>
      <c r="E428" s="155">
        <f t="shared" si="29"/>
        <v>0</v>
      </c>
      <c r="F428" s="237" t="s">
        <v>736</v>
      </c>
      <c r="G428" s="248">
        <f t="shared" si="30"/>
        <v>100</v>
      </c>
    </row>
    <row r="429" spans="1:7" ht="34.5" customHeight="1">
      <c r="A429" s="227">
        <v>3</v>
      </c>
      <c r="B429" s="228" t="s">
        <v>602</v>
      </c>
      <c r="C429" s="17">
        <v>27.5</v>
      </c>
      <c r="D429" s="17">
        <v>27.5</v>
      </c>
      <c r="E429" s="155">
        <f t="shared" si="29"/>
        <v>0</v>
      </c>
      <c r="F429" s="237" t="s">
        <v>736</v>
      </c>
      <c r="G429" s="248">
        <f t="shared" si="30"/>
        <v>100</v>
      </c>
    </row>
    <row r="430" spans="1:7" ht="17.25">
      <c r="A430" s="232" t="s">
        <v>42</v>
      </c>
      <c r="B430" s="282"/>
      <c r="C430" s="225">
        <v>2440.2</v>
      </c>
      <c r="D430" s="225">
        <f>SUM(D431:D432)</f>
        <v>2440.1</v>
      </c>
      <c r="E430" s="225">
        <f t="shared" si="29"/>
        <v>0.09999999999990905</v>
      </c>
      <c r="F430" s="231"/>
      <c r="G430" s="249">
        <f t="shared" si="30"/>
        <v>99.99590197524793</v>
      </c>
    </row>
    <row r="431" spans="1:7" ht="33" customHeight="1">
      <c r="A431" s="123">
        <v>1</v>
      </c>
      <c r="B431" s="199" t="s">
        <v>63</v>
      </c>
      <c r="C431" s="186">
        <v>1264.3</v>
      </c>
      <c r="D431" s="186">
        <v>1264.3</v>
      </c>
      <c r="E431" s="155">
        <f t="shared" si="29"/>
        <v>0</v>
      </c>
      <c r="F431" s="223" t="s">
        <v>738</v>
      </c>
      <c r="G431" s="248">
        <f t="shared" si="30"/>
        <v>100</v>
      </c>
    </row>
    <row r="432" spans="1:7" ht="30" customHeight="1">
      <c r="A432" s="123">
        <v>2</v>
      </c>
      <c r="B432" s="199" t="s">
        <v>570</v>
      </c>
      <c r="C432" s="186">
        <v>1175.9</v>
      </c>
      <c r="D432" s="186">
        <v>1175.8</v>
      </c>
      <c r="E432" s="155">
        <f t="shared" si="29"/>
        <v>0.10000000000013642</v>
      </c>
      <c r="F432" s="223" t="s">
        <v>737</v>
      </c>
      <c r="G432" s="248">
        <f t="shared" si="30"/>
        <v>99.99149587549961</v>
      </c>
    </row>
    <row r="433" spans="1:7" ht="17.25">
      <c r="A433" s="232" t="s">
        <v>43</v>
      </c>
      <c r="B433" s="282"/>
      <c r="C433" s="225">
        <v>2699.4</v>
      </c>
      <c r="D433" s="225">
        <f>SUM(D434:D437)</f>
        <v>2591.2</v>
      </c>
      <c r="E433" s="225">
        <f t="shared" si="29"/>
        <v>108.20000000000027</v>
      </c>
      <c r="F433" s="231"/>
      <c r="G433" s="249">
        <f t="shared" si="30"/>
        <v>95.9917018596725</v>
      </c>
    </row>
    <row r="434" spans="1:7" ht="35.25" customHeight="1">
      <c r="A434" s="123">
        <v>1</v>
      </c>
      <c r="B434" s="199" t="s">
        <v>237</v>
      </c>
      <c r="C434" s="89">
        <v>1146.6</v>
      </c>
      <c r="D434" s="89">
        <v>1146</v>
      </c>
      <c r="E434" s="155">
        <f t="shared" si="29"/>
        <v>0.599999999999909</v>
      </c>
      <c r="F434" s="223" t="s">
        <v>739</v>
      </c>
      <c r="G434" s="248">
        <f t="shared" si="30"/>
        <v>99.94767137624281</v>
      </c>
    </row>
    <row r="435" spans="1:7" ht="24" customHeight="1">
      <c r="A435" s="123">
        <v>2</v>
      </c>
      <c r="B435" s="199" t="s">
        <v>238</v>
      </c>
      <c r="C435" s="89">
        <v>704.4</v>
      </c>
      <c r="D435" s="89">
        <v>704</v>
      </c>
      <c r="E435" s="155">
        <f t="shared" si="29"/>
        <v>0.39999999999997726</v>
      </c>
      <c r="F435" s="240" t="s">
        <v>739</v>
      </c>
      <c r="G435" s="248">
        <f t="shared" si="30"/>
        <v>99.94321408290745</v>
      </c>
    </row>
    <row r="436" spans="1:7" ht="34.5" customHeight="1">
      <c r="A436" s="123">
        <v>3</v>
      </c>
      <c r="B436" s="199" t="s">
        <v>239</v>
      </c>
      <c r="C436" s="89">
        <v>649.8</v>
      </c>
      <c r="D436" s="89">
        <v>542.6</v>
      </c>
      <c r="E436" s="155">
        <f aca="true" t="shared" si="31" ref="E436:E468">C436-D436</f>
        <v>107.19999999999993</v>
      </c>
      <c r="F436" s="223" t="s">
        <v>739</v>
      </c>
      <c r="G436" s="248">
        <f aca="true" t="shared" si="32" ref="G436:G468">D436/C436*100</f>
        <v>83.50261618959681</v>
      </c>
    </row>
    <row r="437" spans="1:7" ht="32.25" customHeight="1">
      <c r="A437" s="123">
        <v>4</v>
      </c>
      <c r="B437" s="200" t="s">
        <v>478</v>
      </c>
      <c r="C437" s="89">
        <v>198.6</v>
      </c>
      <c r="D437" s="89">
        <v>198.6</v>
      </c>
      <c r="E437" s="155">
        <f t="shared" si="31"/>
        <v>0</v>
      </c>
      <c r="F437" s="223" t="s">
        <v>739</v>
      </c>
      <c r="G437" s="248">
        <f t="shared" si="32"/>
        <v>100</v>
      </c>
    </row>
    <row r="438" spans="1:7" ht="21.75" customHeight="1">
      <c r="A438" s="297" t="s">
        <v>44</v>
      </c>
      <c r="B438" s="297"/>
      <c r="C438" s="225">
        <v>1415</v>
      </c>
      <c r="D438" s="225">
        <f>SUM(D439:D449)</f>
        <v>1415</v>
      </c>
      <c r="E438" s="225">
        <f t="shared" si="31"/>
        <v>0</v>
      </c>
      <c r="F438" s="231"/>
      <c r="G438" s="249">
        <f t="shared" si="32"/>
        <v>100</v>
      </c>
    </row>
    <row r="439" spans="1:7" ht="24.75" customHeight="1">
      <c r="A439" s="215">
        <v>1</v>
      </c>
      <c r="B439" s="199" t="s">
        <v>240</v>
      </c>
      <c r="C439" s="186">
        <v>150</v>
      </c>
      <c r="D439" s="186">
        <v>150</v>
      </c>
      <c r="E439" s="155">
        <f t="shared" si="31"/>
        <v>0</v>
      </c>
      <c r="F439" s="223" t="s">
        <v>752</v>
      </c>
      <c r="G439" s="248">
        <f t="shared" si="32"/>
        <v>100</v>
      </c>
    </row>
    <row r="440" spans="1:7" ht="24" customHeight="1">
      <c r="A440" s="215">
        <v>2</v>
      </c>
      <c r="B440" s="199" t="s">
        <v>241</v>
      </c>
      <c r="C440" s="186">
        <v>86</v>
      </c>
      <c r="D440" s="186">
        <v>86</v>
      </c>
      <c r="E440" s="155">
        <f t="shared" si="31"/>
        <v>0</v>
      </c>
      <c r="F440" s="223" t="s">
        <v>753</v>
      </c>
      <c r="G440" s="248">
        <f t="shared" si="32"/>
        <v>100</v>
      </c>
    </row>
    <row r="441" spans="1:7" ht="21" customHeight="1">
      <c r="A441" s="215">
        <v>3</v>
      </c>
      <c r="B441" s="199" t="s">
        <v>242</v>
      </c>
      <c r="C441" s="186">
        <v>192</v>
      </c>
      <c r="D441" s="186">
        <v>192</v>
      </c>
      <c r="E441" s="155">
        <f t="shared" si="31"/>
        <v>0</v>
      </c>
      <c r="F441" s="223" t="s">
        <v>754</v>
      </c>
      <c r="G441" s="248">
        <f t="shared" si="32"/>
        <v>100</v>
      </c>
    </row>
    <row r="442" spans="1:7" ht="24" customHeight="1">
      <c r="A442" s="215">
        <v>4</v>
      </c>
      <c r="B442" s="199" t="s">
        <v>243</v>
      </c>
      <c r="C442" s="186">
        <v>57.6</v>
      </c>
      <c r="D442" s="186">
        <v>57.6</v>
      </c>
      <c r="E442" s="155">
        <f t="shared" si="31"/>
        <v>0</v>
      </c>
      <c r="F442" s="223" t="s">
        <v>755</v>
      </c>
      <c r="G442" s="248">
        <f t="shared" si="32"/>
        <v>100</v>
      </c>
    </row>
    <row r="443" spans="1:7" ht="24" customHeight="1">
      <c r="A443" s="215">
        <v>5</v>
      </c>
      <c r="B443" s="199" t="s">
        <v>244</v>
      </c>
      <c r="C443" s="186">
        <v>57.6</v>
      </c>
      <c r="D443" s="186">
        <v>57.6</v>
      </c>
      <c r="E443" s="155">
        <f t="shared" si="31"/>
        <v>0</v>
      </c>
      <c r="F443" s="223" t="s">
        <v>755</v>
      </c>
      <c r="G443" s="248">
        <f t="shared" si="32"/>
        <v>100</v>
      </c>
    </row>
    <row r="444" spans="1:7" ht="21" customHeight="1">
      <c r="A444" s="215">
        <v>6</v>
      </c>
      <c r="B444" s="199" t="s">
        <v>245</v>
      </c>
      <c r="C444" s="186">
        <v>57.6</v>
      </c>
      <c r="D444" s="186">
        <v>57.6</v>
      </c>
      <c r="E444" s="155">
        <f t="shared" si="31"/>
        <v>0</v>
      </c>
      <c r="F444" s="223" t="s">
        <v>755</v>
      </c>
      <c r="G444" s="248">
        <f t="shared" si="32"/>
        <v>100</v>
      </c>
    </row>
    <row r="445" spans="1:7" ht="23.25" customHeight="1">
      <c r="A445" s="215">
        <v>7</v>
      </c>
      <c r="B445" s="199" t="s">
        <v>246</v>
      </c>
      <c r="C445" s="186">
        <v>96</v>
      </c>
      <c r="D445" s="186">
        <v>96</v>
      </c>
      <c r="E445" s="155">
        <f t="shared" si="31"/>
        <v>0</v>
      </c>
      <c r="F445" s="223" t="s">
        <v>756</v>
      </c>
      <c r="G445" s="248">
        <f t="shared" si="32"/>
        <v>100</v>
      </c>
    </row>
    <row r="446" spans="1:7" ht="23.25" customHeight="1">
      <c r="A446" s="215">
        <v>8</v>
      </c>
      <c r="B446" s="199" t="s">
        <v>247</v>
      </c>
      <c r="C446" s="186">
        <v>192</v>
      </c>
      <c r="D446" s="186">
        <v>192</v>
      </c>
      <c r="E446" s="155">
        <f t="shared" si="31"/>
        <v>0</v>
      </c>
      <c r="F446" s="223" t="s">
        <v>757</v>
      </c>
      <c r="G446" s="248">
        <f t="shared" si="32"/>
        <v>100</v>
      </c>
    </row>
    <row r="447" spans="1:7" ht="21" customHeight="1">
      <c r="A447" s="215">
        <v>9</v>
      </c>
      <c r="B447" s="199" t="s">
        <v>248</v>
      </c>
      <c r="C447" s="186">
        <v>192</v>
      </c>
      <c r="D447" s="186">
        <v>192</v>
      </c>
      <c r="E447" s="155">
        <f t="shared" si="31"/>
        <v>0</v>
      </c>
      <c r="F447" s="223" t="s">
        <v>757</v>
      </c>
      <c r="G447" s="248">
        <f t="shared" si="32"/>
        <v>100</v>
      </c>
    </row>
    <row r="448" spans="1:7" ht="21.75" customHeight="1">
      <c r="A448" s="215">
        <v>10</v>
      </c>
      <c r="B448" s="199" t="s">
        <v>404</v>
      </c>
      <c r="C448" s="186">
        <v>101.6</v>
      </c>
      <c r="D448" s="186">
        <v>101.6</v>
      </c>
      <c r="E448" s="155">
        <f t="shared" si="31"/>
        <v>0</v>
      </c>
      <c r="F448" s="223" t="s">
        <v>758</v>
      </c>
      <c r="G448" s="248">
        <f t="shared" si="32"/>
        <v>100</v>
      </c>
    </row>
    <row r="449" spans="1:7" ht="24" customHeight="1">
      <c r="A449" s="238">
        <v>11</v>
      </c>
      <c r="B449" s="234" t="s">
        <v>603</v>
      </c>
      <c r="C449" s="186">
        <v>232.6</v>
      </c>
      <c r="D449" s="186">
        <v>232.6</v>
      </c>
      <c r="E449" s="155">
        <f t="shared" si="31"/>
        <v>0</v>
      </c>
      <c r="F449" s="223" t="s">
        <v>759</v>
      </c>
      <c r="G449" s="248">
        <f t="shared" si="32"/>
        <v>100</v>
      </c>
    </row>
    <row r="450" spans="1:7" ht="18.75" customHeight="1">
      <c r="A450" s="297" t="s">
        <v>45</v>
      </c>
      <c r="B450" s="297"/>
      <c r="C450" s="225">
        <v>2879.2</v>
      </c>
      <c r="D450" s="225">
        <f>SUM(D451:D459)</f>
        <v>2879.1</v>
      </c>
      <c r="E450" s="225">
        <f t="shared" si="31"/>
        <v>0.09999999999990905</v>
      </c>
      <c r="F450" s="231"/>
      <c r="G450" s="249">
        <f t="shared" si="32"/>
        <v>99.99652681300361</v>
      </c>
    </row>
    <row r="451" spans="1:7" ht="33">
      <c r="A451" s="123">
        <v>1</v>
      </c>
      <c r="B451" s="205" t="s">
        <v>249</v>
      </c>
      <c r="C451" s="89">
        <v>450</v>
      </c>
      <c r="D451" s="89">
        <v>450</v>
      </c>
      <c r="E451" s="155">
        <f t="shared" si="31"/>
        <v>0</v>
      </c>
      <c r="F451" s="223" t="s">
        <v>743</v>
      </c>
      <c r="G451" s="248">
        <f t="shared" si="32"/>
        <v>100</v>
      </c>
    </row>
    <row r="452" spans="1:7" ht="33">
      <c r="A452" s="123">
        <v>2</v>
      </c>
      <c r="B452" s="202" t="s">
        <v>532</v>
      </c>
      <c r="C452" s="89">
        <v>1000</v>
      </c>
      <c r="D452" s="89">
        <v>1000</v>
      </c>
      <c r="E452" s="155">
        <f t="shared" si="31"/>
        <v>0</v>
      </c>
      <c r="F452" s="223" t="s">
        <v>744</v>
      </c>
      <c r="G452" s="248">
        <f t="shared" si="32"/>
        <v>100</v>
      </c>
    </row>
    <row r="453" spans="1:7" ht="27.75" customHeight="1">
      <c r="A453" s="123">
        <v>3</v>
      </c>
      <c r="B453" s="199" t="s">
        <v>511</v>
      </c>
      <c r="C453" s="89">
        <v>182.7</v>
      </c>
      <c r="D453" s="89">
        <v>182.7</v>
      </c>
      <c r="E453" s="155">
        <f t="shared" si="31"/>
        <v>0</v>
      </c>
      <c r="F453" s="223" t="s">
        <v>745</v>
      </c>
      <c r="G453" s="248">
        <f t="shared" si="32"/>
        <v>100</v>
      </c>
    </row>
    <row r="454" spans="1:7" ht="33">
      <c r="A454" s="123">
        <v>4</v>
      </c>
      <c r="B454" s="199" t="s">
        <v>512</v>
      </c>
      <c r="C454" s="9">
        <v>366.3</v>
      </c>
      <c r="D454" s="89">
        <v>366.2</v>
      </c>
      <c r="E454" s="155">
        <f t="shared" si="31"/>
        <v>0.10000000000002274</v>
      </c>
      <c r="F454" s="223" t="s">
        <v>746</v>
      </c>
      <c r="G454" s="248">
        <f t="shared" si="32"/>
        <v>99.97269997269996</v>
      </c>
    </row>
    <row r="455" spans="1:7" ht="30" customHeight="1">
      <c r="A455" s="123">
        <v>5</v>
      </c>
      <c r="B455" s="199" t="s">
        <v>513</v>
      </c>
      <c r="C455" s="89">
        <v>383</v>
      </c>
      <c r="D455" s="89">
        <v>383</v>
      </c>
      <c r="E455" s="155">
        <f t="shared" si="31"/>
        <v>0</v>
      </c>
      <c r="F455" s="223" t="s">
        <v>747</v>
      </c>
      <c r="G455" s="248">
        <f t="shared" si="32"/>
        <v>100</v>
      </c>
    </row>
    <row r="456" spans="1:7" ht="33">
      <c r="A456" s="123">
        <v>6</v>
      </c>
      <c r="B456" s="199" t="s">
        <v>479</v>
      </c>
      <c r="C456" s="89">
        <v>194.1</v>
      </c>
      <c r="D456" s="89">
        <v>194.1</v>
      </c>
      <c r="E456" s="155">
        <f t="shared" si="31"/>
        <v>0</v>
      </c>
      <c r="F456" s="223" t="s">
        <v>748</v>
      </c>
      <c r="G456" s="248">
        <f t="shared" si="32"/>
        <v>100</v>
      </c>
    </row>
    <row r="457" spans="1:7" ht="20.25" customHeight="1">
      <c r="A457" s="123">
        <v>7</v>
      </c>
      <c r="B457" s="199" t="s">
        <v>480</v>
      </c>
      <c r="C457" s="89">
        <v>125.6</v>
      </c>
      <c r="D457" s="89">
        <v>125.6</v>
      </c>
      <c r="E457" s="155">
        <f t="shared" si="31"/>
        <v>0</v>
      </c>
      <c r="F457" s="223" t="s">
        <v>749</v>
      </c>
      <c r="G457" s="248">
        <f t="shared" si="32"/>
        <v>100</v>
      </c>
    </row>
    <row r="458" spans="1:7" ht="21" customHeight="1">
      <c r="A458" s="123">
        <v>8</v>
      </c>
      <c r="B458" s="199" t="s">
        <v>481</v>
      </c>
      <c r="C458" s="89">
        <v>61.8</v>
      </c>
      <c r="D458" s="89">
        <v>61.8</v>
      </c>
      <c r="E458" s="155">
        <f t="shared" si="31"/>
        <v>0</v>
      </c>
      <c r="F458" s="223" t="s">
        <v>750</v>
      </c>
      <c r="G458" s="248">
        <f t="shared" si="32"/>
        <v>100</v>
      </c>
    </row>
    <row r="459" spans="1:7" ht="30" customHeight="1">
      <c r="A459" s="227">
        <v>9</v>
      </c>
      <c r="B459" s="228" t="s">
        <v>587</v>
      </c>
      <c r="C459" s="9">
        <v>115.7</v>
      </c>
      <c r="D459" s="89">
        <v>115.7</v>
      </c>
      <c r="E459" s="155">
        <f t="shared" si="31"/>
        <v>0</v>
      </c>
      <c r="F459" s="223" t="s">
        <v>751</v>
      </c>
      <c r="G459" s="248">
        <f t="shared" si="32"/>
        <v>100</v>
      </c>
    </row>
    <row r="460" spans="1:7" ht="17.25">
      <c r="A460" s="297" t="s">
        <v>46</v>
      </c>
      <c r="B460" s="297"/>
      <c r="C460" s="225">
        <v>3994.3</v>
      </c>
      <c r="D460" s="225">
        <f>SUM(D461:D473)</f>
        <v>3994.2</v>
      </c>
      <c r="E460" s="225">
        <f t="shared" si="31"/>
        <v>0.1000000000003638</v>
      </c>
      <c r="F460" s="231"/>
      <c r="G460" s="249">
        <f t="shared" si="32"/>
        <v>99.99749643241618</v>
      </c>
    </row>
    <row r="461" spans="1:7" ht="27" customHeight="1">
      <c r="A461" s="215">
        <v>1</v>
      </c>
      <c r="B461" s="199" t="s">
        <v>252</v>
      </c>
      <c r="C461" s="89">
        <v>150</v>
      </c>
      <c r="D461" s="89">
        <v>150</v>
      </c>
      <c r="E461" s="155">
        <f t="shared" si="31"/>
        <v>0</v>
      </c>
      <c r="F461" s="252" t="s">
        <v>949</v>
      </c>
      <c r="G461" s="248">
        <f t="shared" si="32"/>
        <v>100</v>
      </c>
    </row>
    <row r="462" spans="1:7" ht="33" customHeight="1">
      <c r="A462" s="215">
        <v>2</v>
      </c>
      <c r="B462" s="199" t="s">
        <v>250</v>
      </c>
      <c r="C462" s="89">
        <v>150</v>
      </c>
      <c r="D462" s="89">
        <v>150</v>
      </c>
      <c r="E462" s="155">
        <f t="shared" si="31"/>
        <v>0</v>
      </c>
      <c r="F462" s="252" t="s">
        <v>950</v>
      </c>
      <c r="G462" s="248">
        <f t="shared" si="32"/>
        <v>100</v>
      </c>
    </row>
    <row r="463" spans="1:7" ht="48.75" customHeight="1">
      <c r="A463" s="215">
        <v>3</v>
      </c>
      <c r="B463" s="199" t="s">
        <v>251</v>
      </c>
      <c r="C463" s="89">
        <v>150</v>
      </c>
      <c r="D463" s="89">
        <v>150</v>
      </c>
      <c r="E463" s="155">
        <f t="shared" si="31"/>
        <v>0</v>
      </c>
      <c r="F463" s="252" t="s">
        <v>951</v>
      </c>
      <c r="G463" s="248">
        <f t="shared" si="32"/>
        <v>100</v>
      </c>
    </row>
    <row r="464" spans="1:7" ht="36" customHeight="1">
      <c r="A464" s="215">
        <v>4</v>
      </c>
      <c r="B464" s="199" t="s">
        <v>253</v>
      </c>
      <c r="C464" s="89">
        <v>200</v>
      </c>
      <c r="D464" s="89">
        <v>200</v>
      </c>
      <c r="E464" s="155">
        <f t="shared" si="31"/>
        <v>0</v>
      </c>
      <c r="F464" s="252" t="s">
        <v>952</v>
      </c>
      <c r="G464" s="248">
        <f t="shared" si="32"/>
        <v>100</v>
      </c>
    </row>
    <row r="465" spans="1:7" ht="48" customHeight="1">
      <c r="A465" s="215">
        <v>5</v>
      </c>
      <c r="B465" s="199" t="s">
        <v>254</v>
      </c>
      <c r="C465" s="89">
        <v>500</v>
      </c>
      <c r="D465" s="89">
        <v>500</v>
      </c>
      <c r="E465" s="155">
        <f t="shared" si="31"/>
        <v>0</v>
      </c>
      <c r="F465" s="252" t="s">
        <v>953</v>
      </c>
      <c r="G465" s="248">
        <f t="shared" si="32"/>
        <v>100</v>
      </c>
    </row>
    <row r="466" spans="1:7" ht="81.75" customHeight="1">
      <c r="A466" s="215">
        <v>6</v>
      </c>
      <c r="B466" s="199" t="s">
        <v>972</v>
      </c>
      <c r="C466" s="89">
        <v>494.3</v>
      </c>
      <c r="D466" s="89">
        <v>494.3</v>
      </c>
      <c r="E466" s="155">
        <f t="shared" si="31"/>
        <v>0</v>
      </c>
      <c r="F466" s="252" t="s">
        <v>954</v>
      </c>
      <c r="G466" s="248">
        <f t="shared" si="32"/>
        <v>100</v>
      </c>
    </row>
    <row r="467" spans="1:7" ht="45" customHeight="1">
      <c r="A467" s="215">
        <v>7</v>
      </c>
      <c r="B467" s="205" t="s">
        <v>255</v>
      </c>
      <c r="C467" s="9">
        <v>271.9</v>
      </c>
      <c r="D467" s="89">
        <v>271.8</v>
      </c>
      <c r="E467" s="155">
        <f t="shared" si="31"/>
        <v>0.0999999999999659</v>
      </c>
      <c r="F467" s="252" t="s">
        <v>955</v>
      </c>
      <c r="G467" s="248">
        <f t="shared" si="32"/>
        <v>99.96322177271057</v>
      </c>
    </row>
    <row r="468" spans="1:7" ht="47.25" customHeight="1">
      <c r="A468" s="215">
        <v>8</v>
      </c>
      <c r="B468" s="205" t="s">
        <v>256</v>
      </c>
      <c r="C468" s="9">
        <v>959.8</v>
      </c>
      <c r="D468" s="89">
        <v>959.8</v>
      </c>
      <c r="E468" s="155">
        <f t="shared" si="31"/>
        <v>0</v>
      </c>
      <c r="F468" s="252" t="s">
        <v>956</v>
      </c>
      <c r="G468" s="248">
        <f t="shared" si="32"/>
        <v>100</v>
      </c>
    </row>
    <row r="469" spans="1:7" ht="48" customHeight="1">
      <c r="A469" s="215">
        <v>9</v>
      </c>
      <c r="B469" s="205" t="s">
        <v>258</v>
      </c>
      <c r="C469" s="9">
        <v>360.8</v>
      </c>
      <c r="D469" s="89">
        <v>360.8</v>
      </c>
      <c r="E469" s="155">
        <f aca="true" t="shared" si="33" ref="E469:E502">C469-D469</f>
        <v>0</v>
      </c>
      <c r="F469" s="252" t="s">
        <v>957</v>
      </c>
      <c r="G469" s="248">
        <f aca="true" t="shared" si="34" ref="G469:G506">D469/C469*100</f>
        <v>100</v>
      </c>
    </row>
    <row r="470" spans="1:7" ht="36" customHeight="1">
      <c r="A470" s="215">
        <v>10</v>
      </c>
      <c r="B470" s="205" t="s">
        <v>257</v>
      </c>
      <c r="C470" s="89">
        <v>400</v>
      </c>
      <c r="D470" s="89">
        <v>400</v>
      </c>
      <c r="E470" s="155">
        <f t="shared" si="33"/>
        <v>0</v>
      </c>
      <c r="F470" s="252" t="s">
        <v>958</v>
      </c>
      <c r="G470" s="248">
        <f t="shared" si="34"/>
        <v>100</v>
      </c>
    </row>
    <row r="471" spans="1:7" ht="36.75" customHeight="1">
      <c r="A471" s="215">
        <v>11</v>
      </c>
      <c r="B471" s="205" t="s">
        <v>259</v>
      </c>
      <c r="C471" s="89">
        <v>60</v>
      </c>
      <c r="D471" s="89">
        <v>60</v>
      </c>
      <c r="E471" s="155">
        <f t="shared" si="33"/>
        <v>0</v>
      </c>
      <c r="F471" s="252" t="s">
        <v>961</v>
      </c>
      <c r="G471" s="248">
        <f t="shared" si="34"/>
        <v>100</v>
      </c>
    </row>
    <row r="472" spans="1:7" ht="48" customHeight="1">
      <c r="A472" s="215">
        <v>12</v>
      </c>
      <c r="B472" s="205" t="s">
        <v>260</v>
      </c>
      <c r="C472" s="9">
        <v>97.5</v>
      </c>
      <c r="D472" s="89">
        <v>97.5</v>
      </c>
      <c r="E472" s="155">
        <f t="shared" si="33"/>
        <v>0</v>
      </c>
      <c r="F472" s="252" t="s">
        <v>959</v>
      </c>
      <c r="G472" s="248">
        <f t="shared" si="34"/>
        <v>100</v>
      </c>
    </row>
    <row r="473" spans="1:7" ht="45.75" customHeight="1">
      <c r="A473" s="215">
        <v>13</v>
      </c>
      <c r="B473" s="199" t="s">
        <v>396</v>
      </c>
      <c r="C473" s="89">
        <v>200</v>
      </c>
      <c r="D473" s="89">
        <v>200</v>
      </c>
      <c r="E473" s="155">
        <f t="shared" si="33"/>
        <v>0</v>
      </c>
      <c r="F473" s="252" t="s">
        <v>960</v>
      </c>
      <c r="G473" s="248">
        <f t="shared" si="34"/>
        <v>100</v>
      </c>
    </row>
    <row r="474" spans="1:7" ht="16.5" customHeight="1">
      <c r="A474" s="297" t="s">
        <v>47</v>
      </c>
      <c r="B474" s="297"/>
      <c r="C474" s="225">
        <v>1224.2</v>
      </c>
      <c r="D474" s="225">
        <f>D475</f>
        <v>1224.2</v>
      </c>
      <c r="E474" s="225">
        <f t="shared" si="33"/>
        <v>0</v>
      </c>
      <c r="F474" s="231"/>
      <c r="G474" s="249">
        <f t="shared" si="34"/>
        <v>100</v>
      </c>
    </row>
    <row r="475" spans="1:7" ht="46.5" customHeight="1">
      <c r="A475" s="123">
        <v>1</v>
      </c>
      <c r="B475" s="200" t="s">
        <v>514</v>
      </c>
      <c r="C475" s="89">
        <v>1224.2</v>
      </c>
      <c r="D475" s="89">
        <v>1224.2</v>
      </c>
      <c r="E475" s="155">
        <f t="shared" si="33"/>
        <v>0</v>
      </c>
      <c r="F475" s="223" t="s">
        <v>740</v>
      </c>
      <c r="G475" s="248">
        <f t="shared" si="34"/>
        <v>100</v>
      </c>
    </row>
    <row r="476" spans="1:7" ht="18" customHeight="1">
      <c r="A476" s="232" t="s">
        <v>48</v>
      </c>
      <c r="B476" s="282"/>
      <c r="C476" s="225">
        <v>1280.8</v>
      </c>
      <c r="D476" s="225">
        <f>SUM(D477:D490)</f>
        <v>1280</v>
      </c>
      <c r="E476" s="225">
        <f t="shared" si="33"/>
        <v>0.7999999999999545</v>
      </c>
      <c r="F476" s="231"/>
      <c r="G476" s="249">
        <f t="shared" si="34"/>
        <v>99.93753903810119</v>
      </c>
    </row>
    <row r="477" spans="1:7" ht="37.5" customHeight="1">
      <c r="A477" s="216">
        <v>1</v>
      </c>
      <c r="B477" s="199" t="s">
        <v>261</v>
      </c>
      <c r="C477" s="89">
        <v>60</v>
      </c>
      <c r="D477" s="89">
        <v>60</v>
      </c>
      <c r="E477" s="155">
        <f t="shared" si="33"/>
        <v>0</v>
      </c>
      <c r="F477" s="223" t="s">
        <v>636</v>
      </c>
      <c r="G477" s="248">
        <f t="shared" si="34"/>
        <v>100</v>
      </c>
    </row>
    <row r="478" spans="1:7" ht="30.75" customHeight="1">
      <c r="A478" s="216">
        <v>2</v>
      </c>
      <c r="B478" s="199" t="s">
        <v>262</v>
      </c>
      <c r="C478" s="89">
        <v>50</v>
      </c>
      <c r="D478" s="89">
        <v>50</v>
      </c>
      <c r="E478" s="155">
        <f t="shared" si="33"/>
        <v>0</v>
      </c>
      <c r="F478" s="223" t="s">
        <v>624</v>
      </c>
      <c r="G478" s="248">
        <f t="shared" si="34"/>
        <v>100</v>
      </c>
    </row>
    <row r="479" spans="1:7" ht="34.5" customHeight="1">
      <c r="A479" s="216">
        <v>3</v>
      </c>
      <c r="B479" s="199" t="s">
        <v>263</v>
      </c>
      <c r="C479" s="89">
        <v>150</v>
      </c>
      <c r="D479" s="89">
        <v>150</v>
      </c>
      <c r="E479" s="155">
        <f t="shared" si="33"/>
        <v>0</v>
      </c>
      <c r="F479" s="223" t="s">
        <v>625</v>
      </c>
      <c r="G479" s="248">
        <f t="shared" si="34"/>
        <v>100</v>
      </c>
    </row>
    <row r="480" spans="1:7" ht="36.75" customHeight="1">
      <c r="A480" s="216">
        <v>4</v>
      </c>
      <c r="B480" s="199" t="s">
        <v>264</v>
      </c>
      <c r="C480" s="89">
        <v>130</v>
      </c>
      <c r="D480" s="89">
        <v>130</v>
      </c>
      <c r="E480" s="155">
        <f t="shared" si="33"/>
        <v>0</v>
      </c>
      <c r="F480" s="223" t="s">
        <v>626</v>
      </c>
      <c r="G480" s="248">
        <f t="shared" si="34"/>
        <v>100</v>
      </c>
    </row>
    <row r="481" spans="1:7" ht="45.75" customHeight="1">
      <c r="A481" s="216">
        <v>5</v>
      </c>
      <c r="B481" s="199" t="s">
        <v>515</v>
      </c>
      <c r="C481" s="9">
        <v>203</v>
      </c>
      <c r="D481" s="89">
        <v>203</v>
      </c>
      <c r="E481" s="155">
        <f t="shared" si="33"/>
        <v>0</v>
      </c>
      <c r="F481" s="223" t="s">
        <v>627</v>
      </c>
      <c r="G481" s="248">
        <f t="shared" si="34"/>
        <v>100</v>
      </c>
    </row>
    <row r="482" spans="1:7" ht="33" customHeight="1">
      <c r="A482" s="216">
        <v>6</v>
      </c>
      <c r="B482" s="199" t="s">
        <v>265</v>
      </c>
      <c r="C482" s="89">
        <v>150</v>
      </c>
      <c r="D482" s="89">
        <v>150</v>
      </c>
      <c r="E482" s="155">
        <f t="shared" si="33"/>
        <v>0</v>
      </c>
      <c r="F482" s="223" t="s">
        <v>637</v>
      </c>
      <c r="G482" s="248">
        <f t="shared" si="34"/>
        <v>100</v>
      </c>
    </row>
    <row r="483" spans="1:7" ht="34.5" customHeight="1">
      <c r="A483" s="216">
        <v>7</v>
      </c>
      <c r="B483" s="205" t="s">
        <v>266</v>
      </c>
      <c r="C483" s="89">
        <v>140</v>
      </c>
      <c r="D483" s="89">
        <v>140</v>
      </c>
      <c r="E483" s="155">
        <f t="shared" si="33"/>
        <v>0</v>
      </c>
      <c r="F483" s="223" t="s">
        <v>638</v>
      </c>
      <c r="G483" s="248">
        <f t="shared" si="34"/>
        <v>100</v>
      </c>
    </row>
    <row r="484" spans="1:7" ht="31.5" customHeight="1">
      <c r="A484" s="216">
        <v>8</v>
      </c>
      <c r="B484" s="205" t="s">
        <v>267</v>
      </c>
      <c r="C484" s="89">
        <v>100</v>
      </c>
      <c r="D484" s="89">
        <v>99.2</v>
      </c>
      <c r="E484" s="155">
        <f t="shared" si="33"/>
        <v>0.7999999999999972</v>
      </c>
      <c r="F484" s="223" t="s">
        <v>639</v>
      </c>
      <c r="G484" s="248">
        <f t="shared" si="34"/>
        <v>99.2</v>
      </c>
    </row>
    <row r="485" spans="1:7" ht="54" customHeight="1">
      <c r="A485" s="216">
        <v>9</v>
      </c>
      <c r="B485" s="205" t="s">
        <v>268</v>
      </c>
      <c r="C485" s="89">
        <v>77.5</v>
      </c>
      <c r="D485" s="89">
        <v>77.5</v>
      </c>
      <c r="E485" s="155">
        <f t="shared" si="33"/>
        <v>0</v>
      </c>
      <c r="F485" s="223" t="s">
        <v>640</v>
      </c>
      <c r="G485" s="248">
        <f t="shared" si="34"/>
        <v>100</v>
      </c>
    </row>
    <row r="486" spans="1:7" ht="52.5" customHeight="1">
      <c r="A486" s="216">
        <v>10</v>
      </c>
      <c r="B486" s="205" t="s">
        <v>361</v>
      </c>
      <c r="C486" s="89">
        <v>30</v>
      </c>
      <c r="D486" s="89">
        <v>30</v>
      </c>
      <c r="E486" s="155">
        <f t="shared" si="33"/>
        <v>0</v>
      </c>
      <c r="F486" s="223" t="s">
        <v>641</v>
      </c>
      <c r="G486" s="248">
        <f t="shared" si="34"/>
        <v>100</v>
      </c>
    </row>
    <row r="487" spans="1:7" ht="54" customHeight="1">
      <c r="A487" s="216">
        <v>11</v>
      </c>
      <c r="B487" s="205" t="s">
        <v>271</v>
      </c>
      <c r="C487" s="89">
        <v>10</v>
      </c>
      <c r="D487" s="89">
        <v>10</v>
      </c>
      <c r="E487" s="155">
        <f t="shared" si="33"/>
        <v>0</v>
      </c>
      <c r="F487" s="223" t="s">
        <v>643</v>
      </c>
      <c r="G487" s="248">
        <f t="shared" si="34"/>
        <v>100</v>
      </c>
    </row>
    <row r="488" spans="1:7" ht="38.25" customHeight="1">
      <c r="A488" s="216">
        <v>12</v>
      </c>
      <c r="B488" s="205" t="s">
        <v>269</v>
      </c>
      <c r="C488" s="89">
        <v>65</v>
      </c>
      <c r="D488" s="89">
        <v>65</v>
      </c>
      <c r="E488" s="155">
        <f t="shared" si="33"/>
        <v>0</v>
      </c>
      <c r="F488" s="223" t="s">
        <v>644</v>
      </c>
      <c r="G488" s="248">
        <f t="shared" si="34"/>
        <v>100</v>
      </c>
    </row>
    <row r="489" spans="1:7" ht="46.5" customHeight="1">
      <c r="A489" s="216">
        <v>13</v>
      </c>
      <c r="B489" s="205" t="s">
        <v>270</v>
      </c>
      <c r="C489" s="89">
        <v>64.1</v>
      </c>
      <c r="D489" s="89">
        <v>64.1</v>
      </c>
      <c r="E489" s="155">
        <f t="shared" si="33"/>
        <v>0</v>
      </c>
      <c r="F489" s="223" t="s">
        <v>645</v>
      </c>
      <c r="G489" s="248">
        <f t="shared" si="34"/>
        <v>100</v>
      </c>
    </row>
    <row r="490" spans="1:7" ht="39" customHeight="1">
      <c r="A490" s="216">
        <v>14</v>
      </c>
      <c r="B490" s="205" t="s">
        <v>642</v>
      </c>
      <c r="C490" s="89">
        <v>51.2</v>
      </c>
      <c r="D490" s="89">
        <v>51.2</v>
      </c>
      <c r="E490" s="155">
        <f t="shared" si="33"/>
        <v>0</v>
      </c>
      <c r="F490" s="223" t="s">
        <v>646</v>
      </c>
      <c r="G490" s="248">
        <f t="shared" si="34"/>
        <v>100</v>
      </c>
    </row>
    <row r="491" spans="1:7" ht="21" customHeight="1">
      <c r="A491" s="232" t="s">
        <v>49</v>
      </c>
      <c r="B491" s="282"/>
      <c r="C491" s="225">
        <v>2422.7</v>
      </c>
      <c r="D491" s="225">
        <f>D492+D493</f>
        <v>2422.7000000000003</v>
      </c>
      <c r="E491" s="225">
        <f t="shared" si="33"/>
        <v>0</v>
      </c>
      <c r="F491" s="231"/>
      <c r="G491" s="249">
        <f t="shared" si="34"/>
        <v>100.00000000000003</v>
      </c>
    </row>
    <row r="492" spans="1:7" ht="24" customHeight="1">
      <c r="A492" s="123">
        <v>1</v>
      </c>
      <c r="B492" s="200" t="s">
        <v>64</v>
      </c>
      <c r="C492" s="9">
        <v>2325.8</v>
      </c>
      <c r="D492" s="89">
        <v>2325.8</v>
      </c>
      <c r="E492" s="155">
        <f t="shared" si="33"/>
        <v>0</v>
      </c>
      <c r="F492" s="223" t="s">
        <v>741</v>
      </c>
      <c r="G492" s="248">
        <f t="shared" si="34"/>
        <v>100</v>
      </c>
    </row>
    <row r="493" spans="1:7" ht="22.5" customHeight="1">
      <c r="A493" s="227">
        <v>2</v>
      </c>
      <c r="B493" s="224" t="s">
        <v>604</v>
      </c>
      <c r="C493" s="9">
        <v>96.9</v>
      </c>
      <c r="D493" s="89">
        <v>96.9</v>
      </c>
      <c r="E493" s="155">
        <f t="shared" si="33"/>
        <v>0</v>
      </c>
      <c r="F493" s="223" t="s">
        <v>742</v>
      </c>
      <c r="G493" s="248">
        <f t="shared" si="34"/>
        <v>100</v>
      </c>
    </row>
    <row r="494" spans="1:7" ht="22.5" customHeight="1">
      <c r="A494" s="297" t="s">
        <v>55</v>
      </c>
      <c r="B494" s="297"/>
      <c r="C494" s="225">
        <v>3196.8</v>
      </c>
      <c r="D494" s="225">
        <f>SUM(D495:D496)</f>
        <v>3196.8</v>
      </c>
      <c r="E494" s="225">
        <f t="shared" si="33"/>
        <v>0</v>
      </c>
      <c r="F494" s="231"/>
      <c r="G494" s="249">
        <f t="shared" si="34"/>
        <v>100</v>
      </c>
    </row>
    <row r="495" spans="1:7" ht="37.5" customHeight="1">
      <c r="A495" s="123">
        <v>1</v>
      </c>
      <c r="B495" s="204" t="s">
        <v>76</v>
      </c>
      <c r="C495" s="89">
        <v>199</v>
      </c>
      <c r="D495" s="89">
        <v>199</v>
      </c>
      <c r="E495" s="155">
        <f t="shared" si="33"/>
        <v>0</v>
      </c>
      <c r="F495" s="319" t="s">
        <v>634</v>
      </c>
      <c r="G495" s="248">
        <f t="shared" si="34"/>
        <v>100</v>
      </c>
    </row>
    <row r="496" spans="1:7" ht="35.25" customHeight="1">
      <c r="A496" s="123">
        <v>2</v>
      </c>
      <c r="B496" s="204" t="s">
        <v>77</v>
      </c>
      <c r="C496" s="89">
        <v>2997.8</v>
      </c>
      <c r="D496" s="89">
        <v>2997.8</v>
      </c>
      <c r="E496" s="155">
        <f t="shared" si="33"/>
        <v>0</v>
      </c>
      <c r="F496" s="320"/>
      <c r="G496" s="248">
        <f t="shared" si="34"/>
        <v>100</v>
      </c>
    </row>
    <row r="497" spans="1:7" ht="19.5" customHeight="1">
      <c r="A497" s="297" t="s">
        <v>51</v>
      </c>
      <c r="B497" s="297"/>
      <c r="C497" s="225">
        <v>1812.7</v>
      </c>
      <c r="D497" s="225">
        <f>SUM(D498:D502)</f>
        <v>1764.8999999999999</v>
      </c>
      <c r="E497" s="225">
        <f t="shared" si="33"/>
        <v>47.80000000000018</v>
      </c>
      <c r="F497" s="225"/>
      <c r="G497" s="249">
        <f t="shared" si="34"/>
        <v>97.3630495945275</v>
      </c>
    </row>
    <row r="498" spans="1:7" ht="35.25" customHeight="1">
      <c r="A498" s="215">
        <v>1</v>
      </c>
      <c r="B498" s="199" t="s">
        <v>588</v>
      </c>
      <c r="C498" s="89">
        <v>800</v>
      </c>
      <c r="D498" s="89">
        <v>752.2</v>
      </c>
      <c r="E498" s="155">
        <f t="shared" si="33"/>
        <v>47.799999999999955</v>
      </c>
      <c r="F498" s="223" t="s">
        <v>633</v>
      </c>
      <c r="G498" s="248">
        <f t="shared" si="34"/>
        <v>94.025</v>
      </c>
    </row>
    <row r="499" spans="1:7" ht="21.75" customHeight="1">
      <c r="A499" s="215">
        <v>2</v>
      </c>
      <c r="B499" s="199" t="s">
        <v>365</v>
      </c>
      <c r="C499" s="89">
        <v>166.3</v>
      </c>
      <c r="D499" s="89">
        <v>166.3</v>
      </c>
      <c r="E499" s="155">
        <f t="shared" si="33"/>
        <v>0</v>
      </c>
      <c r="F499" s="223" t="s">
        <v>631</v>
      </c>
      <c r="G499" s="248">
        <f t="shared" si="34"/>
        <v>100</v>
      </c>
    </row>
    <row r="500" spans="1:7" ht="26.25" customHeight="1">
      <c r="A500" s="215">
        <v>3</v>
      </c>
      <c r="B500" s="199" t="s">
        <v>362</v>
      </c>
      <c r="C500" s="89">
        <v>380.5</v>
      </c>
      <c r="D500" s="89">
        <v>380.5</v>
      </c>
      <c r="E500" s="155">
        <f t="shared" si="33"/>
        <v>0</v>
      </c>
      <c r="F500" s="223" t="s">
        <v>632</v>
      </c>
      <c r="G500" s="248">
        <f t="shared" si="34"/>
        <v>100</v>
      </c>
    </row>
    <row r="501" spans="1:7" ht="32.25" customHeight="1">
      <c r="A501" s="215">
        <v>4</v>
      </c>
      <c r="B501" s="199" t="s">
        <v>363</v>
      </c>
      <c r="C501" s="89">
        <v>301.8</v>
      </c>
      <c r="D501" s="89">
        <v>301.8</v>
      </c>
      <c r="E501" s="155">
        <f t="shared" si="33"/>
        <v>0</v>
      </c>
      <c r="F501" s="223" t="s">
        <v>632</v>
      </c>
      <c r="G501" s="248">
        <f t="shared" si="34"/>
        <v>100</v>
      </c>
    </row>
    <row r="502" spans="1:7" ht="34.5" customHeight="1">
      <c r="A502" s="123">
        <v>5</v>
      </c>
      <c r="B502" s="200" t="s">
        <v>366</v>
      </c>
      <c r="C502" s="89">
        <v>164.1</v>
      </c>
      <c r="D502" s="89">
        <v>164.1</v>
      </c>
      <c r="E502" s="155">
        <f t="shared" si="33"/>
        <v>0</v>
      </c>
      <c r="F502" s="223" t="s">
        <v>632</v>
      </c>
      <c r="G502" s="248">
        <f t="shared" si="34"/>
        <v>100</v>
      </c>
    </row>
    <row r="503" spans="1:7" ht="17.25">
      <c r="A503" s="297" t="s">
        <v>50</v>
      </c>
      <c r="B503" s="297"/>
      <c r="C503" s="225">
        <v>1668.5</v>
      </c>
      <c r="D503" s="225">
        <f>SUM(D504:D505)</f>
        <v>1668.5</v>
      </c>
      <c r="E503" s="225">
        <f>C503-D503</f>
        <v>0</v>
      </c>
      <c r="F503" s="225"/>
      <c r="G503" s="249">
        <f t="shared" si="34"/>
        <v>100</v>
      </c>
    </row>
    <row r="504" spans="1:7" ht="24" customHeight="1">
      <c r="A504" s="123">
        <v>1</v>
      </c>
      <c r="B504" s="204" t="s">
        <v>516</v>
      </c>
      <c r="C504" s="89">
        <v>868.5</v>
      </c>
      <c r="D504" s="89">
        <v>868.5</v>
      </c>
      <c r="E504" s="155">
        <f>C504-D504</f>
        <v>0</v>
      </c>
      <c r="F504" s="223" t="s">
        <v>615</v>
      </c>
      <c r="G504" s="248">
        <f t="shared" si="34"/>
        <v>100</v>
      </c>
    </row>
    <row r="505" spans="1:7" ht="21" customHeight="1">
      <c r="A505" s="123">
        <v>2</v>
      </c>
      <c r="B505" s="204" t="s">
        <v>65</v>
      </c>
      <c r="C505" s="89">
        <v>800</v>
      </c>
      <c r="D505" s="89">
        <v>800</v>
      </c>
      <c r="E505" s="155">
        <f>C505-D505</f>
        <v>0</v>
      </c>
      <c r="F505" s="223" t="s">
        <v>616</v>
      </c>
      <c r="G505" s="248">
        <f t="shared" si="34"/>
        <v>100</v>
      </c>
    </row>
    <row r="506" spans="1:7" ht="21" customHeight="1">
      <c r="A506" s="292"/>
      <c r="B506" s="293" t="s">
        <v>54</v>
      </c>
      <c r="C506" s="221">
        <v>200000</v>
      </c>
      <c r="D506" s="221">
        <f>D6+D11+D32+D51+D59+D68+D75+D201+D291+D298+D300+D305+D307+D314+D319+D321+D329+D333+D350+D353+D355+D360+D362+D369+D372+D375+D378+D396+D399+D402+D430+D433+D438+D450+D460+D474+D476+D491+D494+D497+D503+D28</f>
        <v>199376.01938</v>
      </c>
      <c r="E506" s="221">
        <f>E6+E11+E32+E51+E59+E68+E75+E201+E291+E298+E300+E305+E307+E314+E319+E321+E329+E333+E350+E353+E355+E360+E362+E369+E372+E375+E378+E396+E399+E402+E430+E433+E438+E450+E460+E474+E476+E491+E494+E497+E503+E28</f>
        <v>623.9806199999953</v>
      </c>
      <c r="F506" s="221"/>
      <c r="G506" s="248">
        <f t="shared" si="34"/>
        <v>99.68800969</v>
      </c>
    </row>
    <row r="507" spans="1:7" ht="57.75" customHeight="1">
      <c r="A507" s="311"/>
      <c r="B507" s="311"/>
      <c r="C507" s="311"/>
      <c r="D507" s="311"/>
      <c r="E507" s="311"/>
      <c r="F507" s="294"/>
      <c r="G507" s="294"/>
    </row>
  </sheetData>
  <sheetProtection/>
  <mergeCells count="43">
    <mergeCell ref="F495:F496"/>
    <mergeCell ref="A494:B494"/>
    <mergeCell ref="A369:B369"/>
    <mergeCell ref="A375:B375"/>
    <mergeCell ref="A497:B497"/>
    <mergeCell ref="A503:B503"/>
    <mergeCell ref="A399:B399"/>
    <mergeCell ref="A402:B402"/>
    <mergeCell ref="A438:B438"/>
    <mergeCell ref="A450:B450"/>
    <mergeCell ref="A329:B329"/>
    <mergeCell ref="A355:B355"/>
    <mergeCell ref="A362:B362"/>
    <mergeCell ref="A378:B378"/>
    <mergeCell ref="A314:B314"/>
    <mergeCell ref="A319:B319"/>
    <mergeCell ref="A28:B28"/>
    <mergeCell ref="A32:B32"/>
    <mergeCell ref="A51:B51"/>
    <mergeCell ref="E4:E5"/>
    <mergeCell ref="D4:D5"/>
    <mergeCell ref="A4:A5"/>
    <mergeCell ref="B4:B5"/>
    <mergeCell ref="A298:B298"/>
    <mergeCell ref="A300:B300"/>
    <mergeCell ref="A68:B68"/>
    <mergeCell ref="A75:B75"/>
    <mergeCell ref="A507:G507"/>
    <mergeCell ref="A460:B460"/>
    <mergeCell ref="A305:B305"/>
    <mergeCell ref="A307:B307"/>
    <mergeCell ref="A474:B474"/>
    <mergeCell ref="A321:B321"/>
    <mergeCell ref="C1:G1"/>
    <mergeCell ref="A59:B59"/>
    <mergeCell ref="A201:B201"/>
    <mergeCell ref="A291:B291"/>
    <mergeCell ref="G4:G5"/>
    <mergeCell ref="F4:F5"/>
    <mergeCell ref="A2:G2"/>
    <mergeCell ref="D3:F3"/>
    <mergeCell ref="C4:C5"/>
    <mergeCell ref="A6:B6"/>
  </mergeCells>
  <printOptions/>
  <pageMargins left="0.5511811023622047" right="0.1968503937007874" top="0.7086614173228347" bottom="0.4330708661417323" header="0" footer="0"/>
  <pageSetup horizontalDpi="600" verticalDpi="600" orientation="landscape" paperSize="9" scale="90" r:id="rId1"/>
  <headerFooter differentFirst="1"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S63"/>
  <sheetViews>
    <sheetView zoomScalePageLayoutView="0" workbookViewId="0" topLeftCell="A1">
      <pane xSplit="10" ySplit="5" topLeftCell="K54" activePane="bottomRight" state="frozen"/>
      <selection pane="topLeft" activeCell="A1" sqref="A1"/>
      <selection pane="topRight" activeCell="I1" sqref="I1"/>
      <selection pane="bottomLeft" activeCell="A6" sqref="A6"/>
      <selection pane="bottomRight" activeCell="G61" sqref="G61"/>
    </sheetView>
  </sheetViews>
  <sheetFormatPr defaultColWidth="9.125" defaultRowHeight="12.75"/>
  <cols>
    <col min="1" max="1" width="32.75390625" style="50" customWidth="1"/>
    <col min="2" max="2" width="19.375" style="50" hidden="1" customWidth="1"/>
    <col min="3" max="3" width="13.625" style="51" hidden="1" customWidth="1"/>
    <col min="4" max="4" width="6.50390625" style="51" customWidth="1"/>
    <col min="5" max="5" width="11.875" style="50" customWidth="1"/>
    <col min="6" max="6" width="7.125" style="50" customWidth="1"/>
    <col min="7" max="7" width="13.625" style="50" customWidth="1"/>
    <col min="8" max="8" width="6.50390625" style="50" customWidth="1"/>
    <col min="9" max="9" width="10.00390625" style="50" customWidth="1"/>
    <col min="10" max="10" width="7.00390625" style="50" customWidth="1"/>
    <col min="11" max="11" width="12.50390625" style="50" customWidth="1"/>
    <col min="12" max="12" width="6.00390625" style="50" customWidth="1"/>
    <col min="13" max="13" width="11.00390625" style="50" customWidth="1"/>
    <col min="14" max="14" width="6.75390625" style="50" customWidth="1"/>
    <col min="15" max="15" width="10.375" style="50" customWidth="1"/>
    <col min="16" max="16" width="6.00390625" style="50" customWidth="1"/>
    <col min="17" max="17" width="11.125" style="50" customWidth="1"/>
    <col min="18" max="18" width="8.50390625" style="50" customWidth="1"/>
    <col min="19" max="19" width="13.50390625" style="50" customWidth="1"/>
    <col min="20" max="20" width="9.125" style="50" customWidth="1"/>
    <col min="21" max="16384" width="9.125" style="50" customWidth="1"/>
  </cols>
  <sheetData>
    <row r="1" spans="3:4" s="48" customFormat="1" ht="11.25" customHeight="1">
      <c r="C1" s="49"/>
      <c r="D1" s="49"/>
    </row>
    <row r="2" spans="1:17" ht="24" customHeight="1">
      <c r="A2" s="323" t="s">
        <v>470</v>
      </c>
      <c r="B2" s="323"/>
      <c r="C2" s="323"/>
      <c r="D2" s="323"/>
      <c r="E2" s="294"/>
      <c r="F2" s="294"/>
      <c r="G2" s="294"/>
      <c r="H2" s="294"/>
      <c r="I2" s="294"/>
      <c r="J2" s="294"/>
      <c r="K2" s="294"/>
      <c r="L2" s="294"/>
      <c r="M2" s="294"/>
      <c r="N2" s="294"/>
      <c r="O2" s="294"/>
      <c r="P2" s="294"/>
      <c r="Q2" s="294"/>
    </row>
    <row r="3" ht="18" customHeight="1">
      <c r="S3" s="50" t="s">
        <v>418</v>
      </c>
    </row>
    <row r="4" spans="1:19" s="55" customFormat="1" ht="60" customHeight="1">
      <c r="A4" s="324" t="s">
        <v>419</v>
      </c>
      <c r="B4" s="52" t="s">
        <v>420</v>
      </c>
      <c r="C4" s="53" t="s">
        <v>421</v>
      </c>
      <c r="D4" s="321" t="s">
        <v>422</v>
      </c>
      <c r="E4" s="322"/>
      <c r="F4" s="321" t="s">
        <v>423</v>
      </c>
      <c r="G4" s="322"/>
      <c r="H4" s="325" t="s">
        <v>963</v>
      </c>
      <c r="I4" s="326"/>
      <c r="J4" s="321" t="s">
        <v>962</v>
      </c>
      <c r="K4" s="322"/>
      <c r="L4" s="321" t="s">
        <v>424</v>
      </c>
      <c r="M4" s="322"/>
      <c r="N4" s="327" t="s">
        <v>964</v>
      </c>
      <c r="O4" s="328"/>
      <c r="P4" s="321" t="s">
        <v>425</v>
      </c>
      <c r="Q4" s="322"/>
      <c r="R4" s="321" t="s">
        <v>426</v>
      </c>
      <c r="S4" s="322"/>
    </row>
    <row r="5" spans="1:19" s="55" customFormat="1" ht="33.75" customHeight="1">
      <c r="A5" s="322"/>
      <c r="B5" s="52"/>
      <c r="C5" s="53"/>
      <c r="D5" s="53" t="s">
        <v>427</v>
      </c>
      <c r="E5" s="54" t="s">
        <v>428</v>
      </c>
      <c r="F5" s="53" t="s">
        <v>427</v>
      </c>
      <c r="G5" s="54" t="s">
        <v>428</v>
      </c>
      <c r="H5" s="53" t="s">
        <v>427</v>
      </c>
      <c r="I5" s="54" t="s">
        <v>428</v>
      </c>
      <c r="J5" s="53" t="s">
        <v>427</v>
      </c>
      <c r="K5" s="54" t="s">
        <v>428</v>
      </c>
      <c r="L5" s="53" t="s">
        <v>427</v>
      </c>
      <c r="M5" s="54" t="s">
        <v>428</v>
      </c>
      <c r="N5" s="54"/>
      <c r="O5" s="54"/>
      <c r="P5" s="53" t="s">
        <v>427</v>
      </c>
      <c r="Q5" s="54" t="s">
        <v>428</v>
      </c>
      <c r="R5" s="53" t="s">
        <v>427</v>
      </c>
      <c r="S5" s="54" t="s">
        <v>428</v>
      </c>
    </row>
    <row r="6" spans="1:19" ht="48" customHeight="1">
      <c r="A6" s="56" t="str">
        <f>Перечень!A6</f>
        <v>Абдулинский городской округ (избирательный округ № 4, депутат Давлятов И.Я.)</v>
      </c>
      <c r="B6" s="57">
        <v>50.4</v>
      </c>
      <c r="C6" s="58">
        <f>'[1]Мероприятия'!E23</f>
        <v>4789</v>
      </c>
      <c r="D6" s="58"/>
      <c r="E6" s="59"/>
      <c r="F6" s="262">
        <v>3</v>
      </c>
      <c r="G6" s="59">
        <f>Перечень!D7+Перечень!D8+Перечень!D9</f>
        <v>2312.7</v>
      </c>
      <c r="H6" s="262"/>
      <c r="I6" s="59"/>
      <c r="J6" s="262"/>
      <c r="K6" s="59"/>
      <c r="L6" s="262">
        <v>1</v>
      </c>
      <c r="M6" s="59">
        <f>Перечень!D10</f>
        <v>371.1</v>
      </c>
      <c r="N6" s="262"/>
      <c r="O6" s="59"/>
      <c r="P6" s="262"/>
      <c r="Q6" s="59"/>
      <c r="R6" s="265">
        <f>D6+F6+J6+L6+P6+H6+N6</f>
        <v>4</v>
      </c>
      <c r="S6" s="60">
        <f>E6+G6+K6+M6+Q6</f>
        <v>2683.7999999999997</v>
      </c>
    </row>
    <row r="7" spans="1:19" ht="48" customHeight="1">
      <c r="A7" s="56" t="str">
        <f>Перечень!A11:B11</f>
        <v>г. Бугуруслан (избирательный округ № 1, депутат Аверьянов Г.М.)</v>
      </c>
      <c r="B7" s="57"/>
      <c r="C7" s="58"/>
      <c r="D7" s="258">
        <v>5</v>
      </c>
      <c r="E7" s="59">
        <v>1321.1</v>
      </c>
      <c r="F7" s="262">
        <v>3</v>
      </c>
      <c r="G7" s="59">
        <v>1085</v>
      </c>
      <c r="H7" s="262">
        <v>1</v>
      </c>
      <c r="I7" s="59">
        <v>200</v>
      </c>
      <c r="J7" s="263">
        <v>1</v>
      </c>
      <c r="K7" s="253">
        <v>400</v>
      </c>
      <c r="L7" s="262">
        <v>3</v>
      </c>
      <c r="M7" s="59">
        <f>Перечень!C12+Перечень!C20+Перечень!C27</f>
        <v>930.5</v>
      </c>
      <c r="N7" s="262">
        <v>2</v>
      </c>
      <c r="O7" s="59">
        <v>530</v>
      </c>
      <c r="P7" s="262">
        <v>1</v>
      </c>
      <c r="Q7" s="59">
        <v>560</v>
      </c>
      <c r="R7" s="265">
        <f>D7+F7+J7+L7+P7+H7+N7</f>
        <v>16</v>
      </c>
      <c r="S7" s="60">
        <f>E7+G7+I7+K7+M7+O7+Q7</f>
        <v>5026.6</v>
      </c>
    </row>
    <row r="8" spans="1:19" ht="30.75">
      <c r="A8" s="56" t="str">
        <f>Перечень!A28</f>
        <v>г. Бузулук (избирательный округ № 2, депутат Дикман И.И.)</v>
      </c>
      <c r="B8" s="57">
        <v>37.6</v>
      </c>
      <c r="C8" s="58">
        <f>'[1]Мероприятия'!E39</f>
        <v>4333</v>
      </c>
      <c r="D8" s="259"/>
      <c r="E8" s="253"/>
      <c r="F8" s="262">
        <v>1</v>
      </c>
      <c r="G8" s="59">
        <f>Перечень!C30</f>
        <v>1062</v>
      </c>
      <c r="H8" s="263"/>
      <c r="I8" s="253"/>
      <c r="J8" s="262">
        <v>1</v>
      </c>
      <c r="K8" s="59">
        <v>6613.4</v>
      </c>
      <c r="L8" s="262">
        <v>1</v>
      </c>
      <c r="M8" s="59">
        <v>988.9</v>
      </c>
      <c r="N8" s="263"/>
      <c r="O8" s="253"/>
      <c r="P8" s="263"/>
      <c r="Q8" s="253"/>
      <c r="R8" s="265">
        <f aca="true" t="shared" si="0" ref="R8:R61">D8+F8+J8+L8+P8+H8+N8</f>
        <v>3</v>
      </c>
      <c r="S8" s="60">
        <f aca="true" t="shared" si="1" ref="S8:S61">E8+G8+I8+K8+M8+O8+Q8</f>
        <v>8664.3</v>
      </c>
    </row>
    <row r="9" spans="1:19" ht="54" customHeight="1">
      <c r="A9" s="56" t="str">
        <f>Перечень!A32</f>
        <v>Гайский городской округ (избирательный округ № 19, депутат Малюшин Е.Н.)</v>
      </c>
      <c r="B9" s="57">
        <v>28.4</v>
      </c>
      <c r="C9" s="58">
        <f>'[1]Мероприятия'!E53</f>
        <v>1939.4200000000003</v>
      </c>
      <c r="D9" s="258">
        <v>2</v>
      </c>
      <c r="E9" s="59">
        <f>Перечень!C33+Перечень!C50</f>
        <v>230</v>
      </c>
      <c r="F9" s="262">
        <v>16</v>
      </c>
      <c r="G9" s="59">
        <v>4283</v>
      </c>
      <c r="H9" s="263"/>
      <c r="I9" s="253"/>
      <c r="J9" s="263"/>
      <c r="K9" s="253"/>
      <c r="L9" s="263"/>
      <c r="M9" s="253"/>
      <c r="N9" s="263"/>
      <c r="O9" s="253"/>
      <c r="P9" s="263"/>
      <c r="Q9" s="253"/>
      <c r="R9" s="265">
        <f t="shared" si="0"/>
        <v>18</v>
      </c>
      <c r="S9" s="60">
        <f t="shared" si="1"/>
        <v>4513</v>
      </c>
    </row>
    <row r="10" spans="1:19" ht="50.25" customHeight="1">
      <c r="A10" s="56" t="str">
        <f>Перечень!A51</f>
        <v>Кувандыкский городской округ (избирательный округ № 17, депутат Гусейн С.С.)</v>
      </c>
      <c r="B10" s="57">
        <v>102.3</v>
      </c>
      <c r="C10" s="58">
        <f>'[1]Мероприятия'!E63</f>
        <v>9232.952819999999</v>
      </c>
      <c r="D10" s="258">
        <v>1</v>
      </c>
      <c r="E10" s="59">
        <f>Перечень!C52</f>
        <v>779.6</v>
      </c>
      <c r="F10" s="262">
        <v>6</v>
      </c>
      <c r="G10" s="59">
        <v>3393.6</v>
      </c>
      <c r="H10" s="262"/>
      <c r="I10" s="59"/>
      <c r="J10" s="262"/>
      <c r="K10" s="59"/>
      <c r="L10" s="262"/>
      <c r="M10" s="59"/>
      <c r="N10" s="262"/>
      <c r="O10" s="59"/>
      <c r="P10" s="262"/>
      <c r="Q10" s="59"/>
      <c r="R10" s="265">
        <f t="shared" si="0"/>
        <v>7</v>
      </c>
      <c r="S10" s="60">
        <f t="shared" si="1"/>
        <v>4173.2</v>
      </c>
    </row>
    <row r="11" spans="1:19" ht="36" customHeight="1">
      <c r="A11" s="56" t="str">
        <f>Перечень!A59</f>
        <v>г. Медногорск (избирательный округ № 17, депутат Гусейн С.С.)</v>
      </c>
      <c r="B11" s="57"/>
      <c r="C11" s="58"/>
      <c r="D11" s="259"/>
      <c r="E11" s="253"/>
      <c r="F11" s="262">
        <v>5</v>
      </c>
      <c r="G11" s="59">
        <v>1680.2</v>
      </c>
      <c r="H11" s="263"/>
      <c r="I11" s="253"/>
      <c r="J11" s="262">
        <v>3</v>
      </c>
      <c r="K11" s="59">
        <v>1045.7</v>
      </c>
      <c r="L11" s="263"/>
      <c r="M11" s="253"/>
      <c r="N11" s="263"/>
      <c r="O11" s="253"/>
      <c r="P11" s="263"/>
      <c r="Q11" s="253"/>
      <c r="R11" s="265">
        <f t="shared" si="0"/>
        <v>8</v>
      </c>
      <c r="S11" s="60">
        <f t="shared" si="1"/>
        <v>2725.9</v>
      </c>
    </row>
    <row r="12" spans="1:19" ht="42.75" customHeight="1">
      <c r="A12" s="56" t="str">
        <f>Перечень!A68</f>
        <v>г. Новотроицк (избирательный округ № 18, депутат Маслов Е.В.)</v>
      </c>
      <c r="B12" s="57"/>
      <c r="C12" s="58"/>
      <c r="D12" s="259"/>
      <c r="E12" s="253"/>
      <c r="F12" s="262">
        <v>5</v>
      </c>
      <c r="G12" s="59">
        <v>4679.4</v>
      </c>
      <c r="H12" s="263"/>
      <c r="I12" s="253"/>
      <c r="J12" s="262">
        <v>1</v>
      </c>
      <c r="K12" s="59">
        <f>Перечень!C73</f>
        <v>4884.3</v>
      </c>
      <c r="L12" s="263"/>
      <c r="M12" s="253"/>
      <c r="N12" s="263"/>
      <c r="O12" s="253"/>
      <c r="P12" s="263"/>
      <c r="Q12" s="253"/>
      <c r="R12" s="265">
        <f t="shared" si="0"/>
        <v>6</v>
      </c>
      <c r="S12" s="60">
        <f t="shared" si="1"/>
        <v>9563.7</v>
      </c>
    </row>
    <row r="13" spans="1:19" ht="15">
      <c r="A13" s="56" t="str">
        <f>Перечень!A75</f>
        <v>г. Оренбург </v>
      </c>
      <c r="B13" s="57">
        <v>571.8</v>
      </c>
      <c r="C13" s="58">
        <f>SUM(C14:C19)</f>
        <v>55042.49</v>
      </c>
      <c r="D13" s="258">
        <f>SUM(D14:D19)</f>
        <v>5</v>
      </c>
      <c r="E13" s="58">
        <f aca="true" t="shared" si="2" ref="E13:Q13">SUM(E14:E19)</f>
        <v>835</v>
      </c>
      <c r="F13" s="268">
        <f t="shared" si="2"/>
        <v>87</v>
      </c>
      <c r="G13" s="58">
        <f t="shared" si="2"/>
        <v>47674.200000000004</v>
      </c>
      <c r="H13" s="268">
        <f t="shared" si="2"/>
        <v>0</v>
      </c>
      <c r="I13" s="58">
        <f t="shared" si="2"/>
        <v>0</v>
      </c>
      <c r="J13" s="268">
        <f t="shared" si="2"/>
        <v>22</v>
      </c>
      <c r="K13" s="58">
        <f t="shared" si="2"/>
        <v>7876.700000000001</v>
      </c>
      <c r="L13" s="268">
        <f t="shared" si="2"/>
        <v>3</v>
      </c>
      <c r="M13" s="58">
        <f t="shared" si="2"/>
        <v>1099.2</v>
      </c>
      <c r="N13" s="268">
        <f t="shared" si="2"/>
        <v>1</v>
      </c>
      <c r="O13" s="58">
        <f t="shared" si="2"/>
        <v>350</v>
      </c>
      <c r="P13" s="268">
        <f t="shared" si="2"/>
        <v>1</v>
      </c>
      <c r="Q13" s="58">
        <f t="shared" si="2"/>
        <v>150</v>
      </c>
      <c r="R13" s="265">
        <f t="shared" si="0"/>
        <v>119</v>
      </c>
      <c r="S13" s="60">
        <f t="shared" si="1"/>
        <v>57985.100000000006</v>
      </c>
    </row>
    <row r="14" spans="1:19" ht="15">
      <c r="A14" s="62" t="s">
        <v>429</v>
      </c>
      <c r="B14" s="57"/>
      <c r="C14" s="63">
        <v>9164.62</v>
      </c>
      <c r="D14" s="260"/>
      <c r="E14" s="269"/>
      <c r="F14" s="270">
        <v>13</v>
      </c>
      <c r="G14" s="271">
        <v>7111.9</v>
      </c>
      <c r="H14" s="272"/>
      <c r="I14" s="269"/>
      <c r="J14" s="270">
        <v>6</v>
      </c>
      <c r="K14" s="271">
        <v>2011.9</v>
      </c>
      <c r="L14" s="270">
        <v>1</v>
      </c>
      <c r="M14" s="271">
        <v>499.2</v>
      </c>
      <c r="N14" s="272"/>
      <c r="O14" s="269"/>
      <c r="P14" s="272"/>
      <c r="Q14" s="269"/>
      <c r="R14" s="273">
        <f t="shared" si="0"/>
        <v>20</v>
      </c>
      <c r="S14" s="274">
        <f t="shared" si="1"/>
        <v>9623</v>
      </c>
    </row>
    <row r="15" spans="1:19" ht="15">
      <c r="A15" s="62" t="s">
        <v>430</v>
      </c>
      <c r="B15" s="57"/>
      <c r="C15" s="63">
        <v>9175.72</v>
      </c>
      <c r="D15" s="260"/>
      <c r="E15" s="269"/>
      <c r="F15" s="270">
        <v>13</v>
      </c>
      <c r="G15" s="271">
        <v>8961.8</v>
      </c>
      <c r="H15" s="272"/>
      <c r="I15" s="269"/>
      <c r="J15" s="270">
        <v>3</v>
      </c>
      <c r="K15" s="271">
        <v>724.4</v>
      </c>
      <c r="L15" s="272"/>
      <c r="M15" s="269"/>
      <c r="N15" s="272"/>
      <c r="O15" s="269"/>
      <c r="P15" s="272"/>
      <c r="Q15" s="269"/>
      <c r="R15" s="273">
        <f t="shared" si="0"/>
        <v>16</v>
      </c>
      <c r="S15" s="274">
        <f t="shared" si="1"/>
        <v>9686.199999999999</v>
      </c>
    </row>
    <row r="16" spans="1:19" ht="15">
      <c r="A16" s="62" t="s">
        <v>431</v>
      </c>
      <c r="B16" s="57"/>
      <c r="C16" s="63">
        <v>9175.5</v>
      </c>
      <c r="D16" s="260"/>
      <c r="E16" s="269"/>
      <c r="F16" s="270">
        <v>17</v>
      </c>
      <c r="G16" s="271">
        <v>7061.8</v>
      </c>
      <c r="H16" s="272"/>
      <c r="I16" s="269"/>
      <c r="J16" s="270">
        <v>2</v>
      </c>
      <c r="K16" s="271">
        <v>2000</v>
      </c>
      <c r="L16" s="270">
        <v>1</v>
      </c>
      <c r="M16" s="271">
        <v>300</v>
      </c>
      <c r="N16" s="270">
        <v>1</v>
      </c>
      <c r="O16" s="271">
        <v>350</v>
      </c>
      <c r="P16" s="272"/>
      <c r="Q16" s="269"/>
      <c r="R16" s="273">
        <f t="shared" si="0"/>
        <v>21</v>
      </c>
      <c r="S16" s="274">
        <f t="shared" si="1"/>
        <v>9711.8</v>
      </c>
    </row>
    <row r="17" spans="1:19" ht="15">
      <c r="A17" s="62" t="s">
        <v>432</v>
      </c>
      <c r="B17" s="57"/>
      <c r="C17" s="63">
        <v>9175.8</v>
      </c>
      <c r="D17" s="267">
        <v>3</v>
      </c>
      <c r="E17" s="271">
        <v>135</v>
      </c>
      <c r="F17" s="270">
        <v>28</v>
      </c>
      <c r="G17" s="271">
        <v>8176.9</v>
      </c>
      <c r="H17" s="272"/>
      <c r="I17" s="269"/>
      <c r="J17" s="270">
        <v>5</v>
      </c>
      <c r="K17" s="271">
        <v>928</v>
      </c>
      <c r="L17" s="270">
        <v>1</v>
      </c>
      <c r="M17" s="271">
        <v>300</v>
      </c>
      <c r="N17" s="272"/>
      <c r="O17" s="269"/>
      <c r="P17" s="270">
        <v>1</v>
      </c>
      <c r="Q17" s="271">
        <v>150</v>
      </c>
      <c r="R17" s="273">
        <f t="shared" si="0"/>
        <v>38</v>
      </c>
      <c r="S17" s="274">
        <f t="shared" si="1"/>
        <v>9689.9</v>
      </c>
    </row>
    <row r="18" spans="1:19" ht="15">
      <c r="A18" s="62" t="s">
        <v>433</v>
      </c>
      <c r="B18" s="57"/>
      <c r="C18" s="63">
        <v>9175.89</v>
      </c>
      <c r="D18" s="267">
        <v>1</v>
      </c>
      <c r="E18" s="271">
        <v>200</v>
      </c>
      <c r="F18" s="270">
        <v>12</v>
      </c>
      <c r="G18" s="271">
        <v>9000</v>
      </c>
      <c r="H18" s="272"/>
      <c r="I18" s="269"/>
      <c r="J18" s="270">
        <v>2</v>
      </c>
      <c r="K18" s="271">
        <v>497.3</v>
      </c>
      <c r="L18" s="272"/>
      <c r="M18" s="269"/>
      <c r="N18" s="272"/>
      <c r="O18" s="269"/>
      <c r="P18" s="272"/>
      <c r="Q18" s="269"/>
      <c r="R18" s="273">
        <f t="shared" si="0"/>
        <v>15</v>
      </c>
      <c r="S18" s="274">
        <f t="shared" si="1"/>
        <v>9697.3</v>
      </c>
    </row>
    <row r="19" spans="1:19" ht="15">
      <c r="A19" s="62" t="s">
        <v>434</v>
      </c>
      <c r="B19" s="57"/>
      <c r="C19" s="63">
        <v>9174.96</v>
      </c>
      <c r="D19" s="267">
        <v>1</v>
      </c>
      <c r="E19" s="271">
        <v>500</v>
      </c>
      <c r="F19" s="270">
        <v>4</v>
      </c>
      <c r="G19" s="271">
        <v>7361.8</v>
      </c>
      <c r="H19" s="272"/>
      <c r="I19" s="269"/>
      <c r="J19" s="270">
        <v>4</v>
      </c>
      <c r="K19" s="271">
        <v>1715.1</v>
      </c>
      <c r="L19" s="270"/>
      <c r="M19" s="271"/>
      <c r="N19" s="270"/>
      <c r="O19" s="271"/>
      <c r="P19" s="270"/>
      <c r="Q19" s="271"/>
      <c r="R19" s="273">
        <f t="shared" si="0"/>
        <v>9</v>
      </c>
      <c r="S19" s="274">
        <f t="shared" si="1"/>
        <v>9576.9</v>
      </c>
    </row>
    <row r="20" spans="1:19" ht="15">
      <c r="A20" s="56" t="s">
        <v>435</v>
      </c>
      <c r="B20" s="57">
        <v>240.5</v>
      </c>
      <c r="C20" s="58">
        <f>SUM(C21:C23)</f>
        <v>22395</v>
      </c>
      <c r="D20" s="258">
        <f>SUM(D21:D23)</f>
        <v>4</v>
      </c>
      <c r="E20" s="58">
        <f aca="true" t="shared" si="3" ref="E20:Q20">SUM(E21:E23)</f>
        <v>1760</v>
      </c>
      <c r="F20" s="268">
        <f t="shared" si="3"/>
        <v>75</v>
      </c>
      <c r="G20" s="58">
        <f t="shared" si="3"/>
        <v>17903.5</v>
      </c>
      <c r="H20" s="258">
        <f>SUM(H21:H23)</f>
        <v>0</v>
      </c>
      <c r="I20" s="58">
        <f t="shared" si="3"/>
        <v>0</v>
      </c>
      <c r="J20" s="268">
        <f t="shared" si="3"/>
        <v>2</v>
      </c>
      <c r="K20" s="58">
        <f t="shared" si="3"/>
        <v>1900</v>
      </c>
      <c r="L20" s="268">
        <f t="shared" si="3"/>
        <v>5</v>
      </c>
      <c r="M20" s="58">
        <f t="shared" si="3"/>
        <v>2000</v>
      </c>
      <c r="N20" s="258">
        <f>SUM(N21:N23)</f>
        <v>0</v>
      </c>
      <c r="O20" s="58">
        <f t="shared" si="3"/>
        <v>0</v>
      </c>
      <c r="P20" s="268">
        <f t="shared" si="3"/>
        <v>0</v>
      </c>
      <c r="Q20" s="58">
        <f t="shared" si="3"/>
        <v>0</v>
      </c>
      <c r="R20" s="265">
        <f t="shared" si="0"/>
        <v>86</v>
      </c>
      <c r="S20" s="60">
        <f t="shared" si="1"/>
        <v>23563.5</v>
      </c>
    </row>
    <row r="21" spans="1:19" ht="15">
      <c r="A21" s="62" t="s">
        <v>436</v>
      </c>
      <c r="B21" s="57"/>
      <c r="C21" s="63">
        <v>7465</v>
      </c>
      <c r="D21" s="267">
        <v>2</v>
      </c>
      <c r="E21" s="271">
        <v>660</v>
      </c>
      <c r="F21" s="270">
        <v>30</v>
      </c>
      <c r="G21" s="271">
        <v>6694.5</v>
      </c>
      <c r="H21" s="272"/>
      <c r="I21" s="269"/>
      <c r="J21" s="272"/>
      <c r="K21" s="269"/>
      <c r="L21" s="270">
        <v>3</v>
      </c>
      <c r="M21" s="271">
        <v>500</v>
      </c>
      <c r="N21" s="272"/>
      <c r="O21" s="269"/>
      <c r="P21" s="272"/>
      <c r="Q21" s="269"/>
      <c r="R21" s="273">
        <f t="shared" si="0"/>
        <v>35</v>
      </c>
      <c r="S21" s="274">
        <f t="shared" si="1"/>
        <v>7854.5</v>
      </c>
    </row>
    <row r="22" spans="1:19" ht="15">
      <c r="A22" s="62" t="s">
        <v>437</v>
      </c>
      <c r="B22" s="57"/>
      <c r="C22" s="63">
        <v>7465</v>
      </c>
      <c r="D22" s="267">
        <v>1</v>
      </c>
      <c r="E22" s="271">
        <v>200</v>
      </c>
      <c r="F22" s="270">
        <v>18</v>
      </c>
      <c r="G22" s="271">
        <v>5354.5</v>
      </c>
      <c r="H22" s="272"/>
      <c r="I22" s="269"/>
      <c r="J22" s="270">
        <v>2</v>
      </c>
      <c r="K22" s="271">
        <v>1900</v>
      </c>
      <c r="L22" s="270">
        <v>1</v>
      </c>
      <c r="M22" s="271">
        <v>400</v>
      </c>
      <c r="N22" s="272"/>
      <c r="O22" s="269"/>
      <c r="P22" s="272"/>
      <c r="Q22" s="269"/>
      <c r="R22" s="273">
        <f t="shared" si="0"/>
        <v>22</v>
      </c>
      <c r="S22" s="274">
        <f t="shared" si="1"/>
        <v>7854.5</v>
      </c>
    </row>
    <row r="23" spans="1:19" ht="15">
      <c r="A23" s="62" t="s">
        <v>438</v>
      </c>
      <c r="B23" s="57"/>
      <c r="C23" s="63">
        <v>7465</v>
      </c>
      <c r="D23" s="267">
        <v>1</v>
      </c>
      <c r="E23" s="271">
        <v>900</v>
      </c>
      <c r="F23" s="270">
        <v>27</v>
      </c>
      <c r="G23" s="271">
        <v>5854.5</v>
      </c>
      <c r="H23" s="272"/>
      <c r="I23" s="269"/>
      <c r="J23" s="272"/>
      <c r="K23" s="269"/>
      <c r="L23" s="270">
        <v>1</v>
      </c>
      <c r="M23" s="271">
        <v>1100</v>
      </c>
      <c r="N23" s="272"/>
      <c r="O23" s="269"/>
      <c r="P23" s="272"/>
      <c r="Q23" s="269"/>
      <c r="R23" s="273">
        <f t="shared" si="0"/>
        <v>29</v>
      </c>
      <c r="S23" s="274">
        <f t="shared" si="1"/>
        <v>7854.5</v>
      </c>
    </row>
    <row r="24" spans="1:19" ht="46.5">
      <c r="A24" s="67" t="str">
        <f>Перечень!A291</f>
        <v>Соль-Илецкий городской округ (избирательный округ № 16, депутат Лукьянов А.Ф.)</v>
      </c>
      <c r="B24" s="57"/>
      <c r="C24" s="63"/>
      <c r="D24" s="267">
        <v>2</v>
      </c>
      <c r="E24" s="59">
        <v>2250.4</v>
      </c>
      <c r="F24" s="262">
        <v>1</v>
      </c>
      <c r="G24" s="59">
        <v>1973.3</v>
      </c>
      <c r="H24" s="262"/>
      <c r="I24" s="59"/>
      <c r="J24" s="262"/>
      <c r="K24" s="59"/>
      <c r="L24" s="262"/>
      <c r="M24" s="59"/>
      <c r="N24" s="262"/>
      <c r="O24" s="59"/>
      <c r="P24" s="262">
        <v>3</v>
      </c>
      <c r="Q24" s="59">
        <v>824.4</v>
      </c>
      <c r="R24" s="265">
        <f t="shared" si="0"/>
        <v>6</v>
      </c>
      <c r="S24" s="60">
        <f t="shared" si="1"/>
        <v>5048.099999999999</v>
      </c>
    </row>
    <row r="25" spans="1:19" ht="42.75" customHeight="1">
      <c r="A25" s="56" t="s">
        <v>439</v>
      </c>
      <c r="B25" s="57">
        <v>28.7</v>
      </c>
      <c r="C25" s="58">
        <v>3934</v>
      </c>
      <c r="D25" s="259"/>
      <c r="E25" s="253"/>
      <c r="F25" s="263"/>
      <c r="G25" s="253"/>
      <c r="H25" s="263"/>
      <c r="I25" s="253"/>
      <c r="J25" s="262">
        <v>1</v>
      </c>
      <c r="K25" s="59">
        <f>Перечень!C299</f>
        <v>4106.7</v>
      </c>
      <c r="L25" s="262"/>
      <c r="M25" s="59"/>
      <c r="N25" s="262"/>
      <c r="O25" s="59"/>
      <c r="P25" s="262"/>
      <c r="Q25" s="59"/>
      <c r="R25" s="265">
        <f t="shared" si="0"/>
        <v>1</v>
      </c>
      <c r="S25" s="60">
        <f t="shared" si="1"/>
        <v>4106.7</v>
      </c>
    </row>
    <row r="26" spans="1:19" ht="53.25" customHeight="1">
      <c r="A26" s="56" t="str">
        <f>Перечень!A300</f>
        <v>Ясненский городской округ (избирательный округ № 23, депутат Алейников С.Н.)</v>
      </c>
      <c r="B26" s="57">
        <v>8.6</v>
      </c>
      <c r="C26" s="58">
        <v>697</v>
      </c>
      <c r="D26" s="259"/>
      <c r="E26" s="253"/>
      <c r="F26" s="262">
        <v>4</v>
      </c>
      <c r="G26" s="59">
        <v>1974</v>
      </c>
      <c r="H26" s="262"/>
      <c r="I26" s="59"/>
      <c r="J26" s="262"/>
      <c r="K26" s="59"/>
      <c r="L26" s="262"/>
      <c r="M26" s="59"/>
      <c r="N26" s="262"/>
      <c r="O26" s="59"/>
      <c r="P26" s="262"/>
      <c r="Q26" s="59"/>
      <c r="R26" s="265">
        <f t="shared" si="0"/>
        <v>4</v>
      </c>
      <c r="S26" s="60">
        <f t="shared" si="1"/>
        <v>1974</v>
      </c>
    </row>
    <row r="27" spans="1:19" ht="51.75" customHeight="1">
      <c r="A27" s="56" t="str">
        <f>Перечень!A305</f>
        <v>ЗАТО Комаровский (избирательный округ № 23, депутат Алейников С.Н.)</v>
      </c>
      <c r="B27" s="57">
        <v>28.9</v>
      </c>
      <c r="C27" s="58">
        <f>'[1]Мероприятия'!E5</f>
        <v>2576.5510000000004</v>
      </c>
      <c r="D27" s="259"/>
      <c r="E27" s="253"/>
      <c r="F27" s="262">
        <v>1</v>
      </c>
      <c r="G27" s="59">
        <v>700</v>
      </c>
      <c r="H27" s="262"/>
      <c r="I27" s="59"/>
      <c r="J27" s="262"/>
      <c r="K27" s="59"/>
      <c r="L27" s="262"/>
      <c r="M27" s="59"/>
      <c r="N27" s="262"/>
      <c r="O27" s="59"/>
      <c r="P27" s="262"/>
      <c r="Q27" s="59"/>
      <c r="R27" s="265">
        <f t="shared" si="0"/>
        <v>1</v>
      </c>
      <c r="S27" s="60">
        <f t="shared" si="1"/>
        <v>700</v>
      </c>
    </row>
    <row r="28" spans="1:19" ht="48" customHeight="1">
      <c r="A28" s="56" t="str">
        <f>Перечень!A307</f>
        <v>Адамовский район (избирательный округ № 23, депутат Алейников С.Н.)</v>
      </c>
      <c r="B28" s="57">
        <v>25.4</v>
      </c>
      <c r="C28" s="58">
        <v>2302</v>
      </c>
      <c r="D28" s="258">
        <v>1</v>
      </c>
      <c r="E28" s="59">
        <f>Перечень!C313</f>
        <v>262.7</v>
      </c>
      <c r="F28" s="262">
        <v>5</v>
      </c>
      <c r="G28" s="59">
        <v>2128.4</v>
      </c>
      <c r="H28" s="262"/>
      <c r="I28" s="59"/>
      <c r="J28" s="262"/>
      <c r="K28" s="59"/>
      <c r="L28" s="262"/>
      <c r="M28" s="59"/>
      <c r="N28" s="262"/>
      <c r="O28" s="59"/>
      <c r="P28" s="262"/>
      <c r="Q28" s="59"/>
      <c r="R28" s="265">
        <f t="shared" si="0"/>
        <v>6</v>
      </c>
      <c r="S28" s="60">
        <f t="shared" si="1"/>
        <v>2391.1</v>
      </c>
    </row>
    <row r="29" spans="1:19" ht="23.25" customHeight="1">
      <c r="A29" s="56" t="s">
        <v>440</v>
      </c>
      <c r="B29" s="57">
        <v>25.5</v>
      </c>
      <c r="C29" s="58">
        <v>2403.3</v>
      </c>
      <c r="D29" s="259"/>
      <c r="E29" s="253"/>
      <c r="F29" s="262">
        <v>4</v>
      </c>
      <c r="G29" s="59">
        <v>2524.5</v>
      </c>
      <c r="H29" s="262"/>
      <c r="I29" s="59"/>
      <c r="J29" s="262"/>
      <c r="K29" s="59"/>
      <c r="L29" s="262"/>
      <c r="M29" s="59"/>
      <c r="N29" s="262"/>
      <c r="O29" s="59"/>
      <c r="P29" s="262"/>
      <c r="Q29" s="59"/>
      <c r="R29" s="265">
        <f t="shared" si="0"/>
        <v>4</v>
      </c>
      <c r="S29" s="60">
        <f t="shared" si="1"/>
        <v>2524.5</v>
      </c>
    </row>
    <row r="30" spans="1:19" ht="27" customHeight="1">
      <c r="A30" s="56" t="s">
        <v>441</v>
      </c>
      <c r="B30" s="57">
        <v>15.2</v>
      </c>
      <c r="C30" s="58">
        <v>1384</v>
      </c>
      <c r="D30" s="258">
        <v>1</v>
      </c>
      <c r="E30" s="59">
        <f>Перечень!C320</f>
        <v>1432.4</v>
      </c>
      <c r="F30" s="262"/>
      <c r="G30" s="59"/>
      <c r="H30" s="262"/>
      <c r="I30" s="59"/>
      <c r="J30" s="262"/>
      <c r="K30" s="59"/>
      <c r="L30" s="262"/>
      <c r="M30" s="59"/>
      <c r="N30" s="262"/>
      <c r="O30" s="59"/>
      <c r="P30" s="262"/>
      <c r="Q30" s="59"/>
      <c r="R30" s="265">
        <f t="shared" si="0"/>
        <v>1</v>
      </c>
      <c r="S30" s="60">
        <f t="shared" si="1"/>
        <v>1432.4</v>
      </c>
    </row>
    <row r="31" spans="1:19" ht="21" customHeight="1">
      <c r="A31" s="56" t="s">
        <v>442</v>
      </c>
      <c r="B31" s="57">
        <v>19.8</v>
      </c>
      <c r="C31" s="58">
        <v>1753.82</v>
      </c>
      <c r="D31" s="258">
        <v>3</v>
      </c>
      <c r="E31" s="59">
        <v>400</v>
      </c>
      <c r="F31" s="262">
        <v>4</v>
      </c>
      <c r="G31" s="59">
        <v>1427.6</v>
      </c>
      <c r="H31" s="262"/>
      <c r="I31" s="59"/>
      <c r="J31" s="262"/>
      <c r="K31" s="59"/>
      <c r="L31" s="262"/>
      <c r="M31" s="59"/>
      <c r="N31" s="262"/>
      <c r="O31" s="59"/>
      <c r="P31" s="262"/>
      <c r="Q31" s="59"/>
      <c r="R31" s="265">
        <f t="shared" si="0"/>
        <v>7</v>
      </c>
      <c r="S31" s="60">
        <f t="shared" si="1"/>
        <v>1827.6</v>
      </c>
    </row>
    <row r="32" spans="1:19" ht="21.75" customHeight="1">
      <c r="A32" s="56" t="s">
        <v>443</v>
      </c>
      <c r="B32" s="57">
        <v>16.5</v>
      </c>
      <c r="C32" s="58">
        <v>1528.52</v>
      </c>
      <c r="D32" s="258"/>
      <c r="E32" s="59"/>
      <c r="F32" s="262">
        <v>3</v>
      </c>
      <c r="G32" s="59">
        <v>1599.8</v>
      </c>
      <c r="H32" s="262"/>
      <c r="I32" s="59"/>
      <c r="J32" s="262"/>
      <c r="K32" s="59"/>
      <c r="L32" s="262"/>
      <c r="M32" s="59"/>
      <c r="N32" s="262"/>
      <c r="O32" s="59"/>
      <c r="P32" s="262"/>
      <c r="Q32" s="59"/>
      <c r="R32" s="265">
        <f t="shared" si="0"/>
        <v>3</v>
      </c>
      <c r="S32" s="60">
        <f t="shared" si="1"/>
        <v>1599.8</v>
      </c>
    </row>
    <row r="33" spans="1:19" ht="28.5" customHeight="1">
      <c r="A33" s="56" t="s">
        <v>444</v>
      </c>
      <c r="B33" s="57">
        <v>19.2</v>
      </c>
      <c r="C33" s="58">
        <v>1752</v>
      </c>
      <c r="D33" s="258">
        <v>6</v>
      </c>
      <c r="E33" s="59">
        <v>795</v>
      </c>
      <c r="F33" s="262">
        <v>9</v>
      </c>
      <c r="G33" s="59">
        <v>953.3</v>
      </c>
      <c r="H33" s="262">
        <v>1</v>
      </c>
      <c r="I33" s="59">
        <v>77</v>
      </c>
      <c r="J33" s="263"/>
      <c r="K33" s="253"/>
      <c r="L33" s="263"/>
      <c r="M33" s="253"/>
      <c r="N33" s="263"/>
      <c r="O33" s="253"/>
      <c r="P33" s="263"/>
      <c r="Q33" s="253"/>
      <c r="R33" s="265">
        <f t="shared" si="0"/>
        <v>16</v>
      </c>
      <c r="S33" s="60">
        <f t="shared" si="1"/>
        <v>1825.3</v>
      </c>
    </row>
    <row r="34" spans="1:19" ht="18.75" customHeight="1">
      <c r="A34" s="56" t="s">
        <v>445</v>
      </c>
      <c r="B34" s="57">
        <v>30.8</v>
      </c>
      <c r="C34" s="58">
        <v>2896.99</v>
      </c>
      <c r="D34" s="258">
        <v>1</v>
      </c>
      <c r="E34" s="59">
        <f>Перечень!C352</f>
        <v>1848.5</v>
      </c>
      <c r="F34" s="262">
        <v>1</v>
      </c>
      <c r="G34" s="59">
        <v>1199.6</v>
      </c>
      <c r="H34" s="262"/>
      <c r="I34" s="59"/>
      <c r="J34" s="262"/>
      <c r="K34" s="59"/>
      <c r="L34" s="262"/>
      <c r="M34" s="59"/>
      <c r="N34" s="262"/>
      <c r="O34" s="59"/>
      <c r="P34" s="262"/>
      <c r="Q34" s="59"/>
      <c r="R34" s="265">
        <f t="shared" si="0"/>
        <v>2</v>
      </c>
      <c r="S34" s="60">
        <f t="shared" si="1"/>
        <v>3048.1</v>
      </c>
    </row>
    <row r="35" spans="1:19" ht="23.25" customHeight="1">
      <c r="A35" s="56" t="s">
        <v>446</v>
      </c>
      <c r="B35" s="57">
        <v>13</v>
      </c>
      <c r="C35" s="58">
        <v>1155.66</v>
      </c>
      <c r="D35" s="258"/>
      <c r="E35" s="59"/>
      <c r="F35" s="262">
        <v>1</v>
      </c>
      <c r="G35" s="59">
        <f>Перечень!C354</f>
        <v>1198.5</v>
      </c>
      <c r="H35" s="262"/>
      <c r="I35" s="59"/>
      <c r="J35" s="262"/>
      <c r="K35" s="59"/>
      <c r="L35" s="262"/>
      <c r="M35" s="59"/>
      <c r="N35" s="262"/>
      <c r="O35" s="59"/>
      <c r="P35" s="262"/>
      <c r="Q35" s="59"/>
      <c r="R35" s="265">
        <f t="shared" si="0"/>
        <v>1</v>
      </c>
      <c r="S35" s="60">
        <f t="shared" si="1"/>
        <v>1198.5</v>
      </c>
    </row>
    <row r="36" spans="1:19" ht="20.25" customHeight="1">
      <c r="A36" s="56" t="s">
        <v>447</v>
      </c>
      <c r="B36" s="57">
        <v>15.5</v>
      </c>
      <c r="C36" s="58">
        <v>1444</v>
      </c>
      <c r="D36" s="258">
        <v>2</v>
      </c>
      <c r="E36" s="59">
        <v>726.1</v>
      </c>
      <c r="F36" s="262">
        <v>2</v>
      </c>
      <c r="G36" s="59">
        <v>771.9</v>
      </c>
      <c r="H36" s="262"/>
      <c r="I36" s="59"/>
      <c r="J36" s="262"/>
      <c r="K36" s="59"/>
      <c r="L36" s="262"/>
      <c r="M36" s="59"/>
      <c r="N36" s="262"/>
      <c r="O36" s="59"/>
      <c r="P36" s="262"/>
      <c r="Q36" s="59"/>
      <c r="R36" s="265">
        <f t="shared" si="0"/>
        <v>4</v>
      </c>
      <c r="S36" s="60">
        <f t="shared" si="1"/>
        <v>1498</v>
      </c>
    </row>
    <row r="37" spans="1:19" ht="18.75" customHeight="1">
      <c r="A37" s="56" t="s">
        <v>448</v>
      </c>
      <c r="B37" s="57">
        <v>24.9</v>
      </c>
      <c r="C37" s="58">
        <v>2304.54</v>
      </c>
      <c r="D37" s="259"/>
      <c r="E37" s="253"/>
      <c r="F37" s="262">
        <v>1</v>
      </c>
      <c r="G37" s="59">
        <f>Перечень!C361</f>
        <v>2417.6</v>
      </c>
      <c r="H37" s="262"/>
      <c r="I37" s="59"/>
      <c r="J37" s="262"/>
      <c r="K37" s="59"/>
      <c r="L37" s="262"/>
      <c r="M37" s="59"/>
      <c r="N37" s="262"/>
      <c r="O37" s="59"/>
      <c r="P37" s="262"/>
      <c r="Q37" s="59"/>
      <c r="R37" s="265">
        <f t="shared" si="0"/>
        <v>1</v>
      </c>
      <c r="S37" s="60">
        <f t="shared" si="1"/>
        <v>2417.6</v>
      </c>
    </row>
    <row r="38" spans="1:19" ht="24.75" customHeight="1">
      <c r="A38" s="56" t="s">
        <v>449</v>
      </c>
      <c r="B38" s="57">
        <v>17.6</v>
      </c>
      <c r="C38" s="58">
        <v>1570</v>
      </c>
      <c r="D38" s="259"/>
      <c r="E38" s="253"/>
      <c r="F38" s="262">
        <v>6</v>
      </c>
      <c r="G38" s="59">
        <f>Перечень!D362</f>
        <v>1617.8</v>
      </c>
      <c r="H38" s="262"/>
      <c r="I38" s="59"/>
      <c r="J38" s="262"/>
      <c r="K38" s="59"/>
      <c r="L38" s="262"/>
      <c r="M38" s="59"/>
      <c r="N38" s="262"/>
      <c r="O38" s="59"/>
      <c r="P38" s="262"/>
      <c r="Q38" s="59"/>
      <c r="R38" s="265">
        <f t="shared" si="0"/>
        <v>6</v>
      </c>
      <c r="S38" s="60">
        <f t="shared" si="1"/>
        <v>1617.8</v>
      </c>
    </row>
    <row r="39" spans="1:19" ht="31.5" customHeight="1">
      <c r="A39" s="56" t="s">
        <v>450</v>
      </c>
      <c r="B39" s="57">
        <v>20.3</v>
      </c>
      <c r="C39" s="58">
        <v>1859.79</v>
      </c>
      <c r="D39" s="258">
        <v>1</v>
      </c>
      <c r="E39" s="59">
        <v>88.8</v>
      </c>
      <c r="F39" s="262">
        <v>1</v>
      </c>
      <c r="G39" s="59">
        <f>Перечень!C370</f>
        <v>1843.7</v>
      </c>
      <c r="H39" s="262"/>
      <c r="I39" s="59"/>
      <c r="J39" s="262"/>
      <c r="K39" s="59"/>
      <c r="L39" s="262"/>
      <c r="M39" s="59"/>
      <c r="N39" s="262"/>
      <c r="O39" s="59"/>
      <c r="P39" s="262"/>
      <c r="Q39" s="59"/>
      <c r="R39" s="265">
        <f t="shared" si="0"/>
        <v>2</v>
      </c>
      <c r="S39" s="60">
        <f t="shared" si="1"/>
        <v>1932.5</v>
      </c>
    </row>
    <row r="40" spans="1:19" ht="29.25" customHeight="1">
      <c r="A40" s="56" t="s">
        <v>451</v>
      </c>
      <c r="B40" s="57">
        <v>17.2</v>
      </c>
      <c r="C40" s="58">
        <v>1548</v>
      </c>
      <c r="D40" s="259"/>
      <c r="E40" s="253"/>
      <c r="F40" s="262">
        <v>2</v>
      </c>
      <c r="G40" s="59">
        <v>1607.6</v>
      </c>
      <c r="H40" s="262"/>
      <c r="I40" s="59"/>
      <c r="J40" s="262"/>
      <c r="K40" s="59"/>
      <c r="L40" s="262"/>
      <c r="M40" s="59"/>
      <c r="N40" s="262"/>
      <c r="O40" s="59"/>
      <c r="P40" s="262"/>
      <c r="Q40" s="59"/>
      <c r="R40" s="265">
        <f t="shared" si="0"/>
        <v>2</v>
      </c>
      <c r="S40" s="60">
        <f t="shared" si="1"/>
        <v>1607.6</v>
      </c>
    </row>
    <row r="41" spans="1:19" ht="22.5" customHeight="1">
      <c r="A41" s="56" t="s">
        <v>452</v>
      </c>
      <c r="B41" s="57">
        <v>11.8</v>
      </c>
      <c r="C41" s="58">
        <v>1066.7</v>
      </c>
      <c r="D41" s="258">
        <v>1</v>
      </c>
      <c r="E41" s="59">
        <f>Перечень!C376</f>
        <v>519.3</v>
      </c>
      <c r="F41" s="262">
        <v>1</v>
      </c>
      <c r="G41" s="59">
        <f>Перечень!C377</f>
        <v>586</v>
      </c>
      <c r="H41" s="262"/>
      <c r="I41" s="59"/>
      <c r="J41" s="262"/>
      <c r="K41" s="59"/>
      <c r="L41" s="262"/>
      <c r="M41" s="59"/>
      <c r="N41" s="262"/>
      <c r="O41" s="59"/>
      <c r="P41" s="262"/>
      <c r="Q41" s="59"/>
      <c r="R41" s="265">
        <f t="shared" si="0"/>
        <v>2</v>
      </c>
      <c r="S41" s="60">
        <f t="shared" si="1"/>
        <v>1105.3</v>
      </c>
    </row>
    <row r="42" spans="1:19" ht="18.75" customHeight="1">
      <c r="A42" s="56" t="s">
        <v>453</v>
      </c>
      <c r="B42" s="57">
        <v>28.6</v>
      </c>
      <c r="C42" s="58">
        <v>2659</v>
      </c>
      <c r="D42" s="258">
        <v>2</v>
      </c>
      <c r="E42" s="59">
        <v>355.8</v>
      </c>
      <c r="F42" s="262">
        <v>15</v>
      </c>
      <c r="G42" s="59">
        <v>2419</v>
      </c>
      <c r="H42" s="262"/>
      <c r="I42" s="59"/>
      <c r="J42" s="262"/>
      <c r="K42" s="59"/>
      <c r="L42" s="262"/>
      <c r="M42" s="59"/>
      <c r="N42" s="262"/>
      <c r="O42" s="59"/>
      <c r="P42" s="262"/>
      <c r="Q42" s="59"/>
      <c r="R42" s="265">
        <f t="shared" si="0"/>
        <v>17</v>
      </c>
      <c r="S42" s="60">
        <f t="shared" si="1"/>
        <v>2774.8</v>
      </c>
    </row>
    <row r="43" spans="1:19" ht="30" customHeight="1">
      <c r="A43" s="56" t="s">
        <v>454</v>
      </c>
      <c r="B43" s="57">
        <v>35.9</v>
      </c>
      <c r="C43" s="58">
        <v>3334.43</v>
      </c>
      <c r="D43" s="259"/>
      <c r="E43" s="253"/>
      <c r="F43" s="262">
        <v>2</v>
      </c>
      <c r="G43" s="59">
        <v>3511.3</v>
      </c>
      <c r="H43" s="262"/>
      <c r="I43" s="59"/>
      <c r="J43" s="262"/>
      <c r="K43" s="59"/>
      <c r="L43" s="262"/>
      <c r="M43" s="59"/>
      <c r="N43" s="262"/>
      <c r="O43" s="59"/>
      <c r="P43" s="262"/>
      <c r="Q43" s="59"/>
      <c r="R43" s="265">
        <f t="shared" si="0"/>
        <v>2</v>
      </c>
      <c r="S43" s="60">
        <f t="shared" si="1"/>
        <v>3511.3</v>
      </c>
    </row>
    <row r="44" spans="1:19" ht="17.25" customHeight="1">
      <c r="A44" s="56" t="s">
        <v>455</v>
      </c>
      <c r="B44" s="57">
        <v>20.2</v>
      </c>
      <c r="C44" s="58">
        <v>1848.96</v>
      </c>
      <c r="D44" s="259"/>
      <c r="E44" s="253"/>
      <c r="F44" s="263"/>
      <c r="G44" s="253"/>
      <c r="H44" s="263"/>
      <c r="I44" s="253"/>
      <c r="J44" s="262">
        <v>2</v>
      </c>
      <c r="K44" s="59">
        <f>Перечень!C399</f>
        <v>1925.2</v>
      </c>
      <c r="L44" s="262"/>
      <c r="M44" s="59"/>
      <c r="N44" s="262"/>
      <c r="O44" s="59"/>
      <c r="P44" s="262"/>
      <c r="Q44" s="59"/>
      <c r="R44" s="265">
        <f t="shared" si="0"/>
        <v>2</v>
      </c>
      <c r="S44" s="60">
        <f t="shared" si="1"/>
        <v>1925.2</v>
      </c>
    </row>
    <row r="45" spans="1:19" ht="34.5" customHeight="1">
      <c r="A45" s="56" t="s">
        <v>456</v>
      </c>
      <c r="B45" s="57">
        <v>78.4</v>
      </c>
      <c r="C45" s="58">
        <v>8419.8</v>
      </c>
      <c r="D45" s="258">
        <f>SUM(D46:D48)</f>
        <v>2</v>
      </c>
      <c r="E45" s="58">
        <f aca="true" t="shared" si="4" ref="E45:Q45">SUM(E46:E48)</f>
        <v>1471.8</v>
      </c>
      <c r="F45" s="268">
        <f t="shared" si="4"/>
        <v>20</v>
      </c>
      <c r="G45" s="58">
        <f t="shared" si="4"/>
        <v>7446.099999999999</v>
      </c>
      <c r="H45" s="268"/>
      <c r="I45" s="58"/>
      <c r="J45" s="268">
        <f t="shared" si="4"/>
        <v>2</v>
      </c>
      <c r="K45" s="58">
        <f t="shared" si="4"/>
        <v>616.1</v>
      </c>
      <c r="L45" s="268">
        <f t="shared" si="4"/>
        <v>0</v>
      </c>
      <c r="M45" s="58">
        <f t="shared" si="4"/>
        <v>0</v>
      </c>
      <c r="N45" s="268"/>
      <c r="O45" s="58"/>
      <c r="P45" s="268">
        <f t="shared" si="4"/>
        <v>0</v>
      </c>
      <c r="Q45" s="58">
        <f t="shared" si="4"/>
        <v>0</v>
      </c>
      <c r="R45" s="265">
        <f t="shared" si="0"/>
        <v>24</v>
      </c>
      <c r="S45" s="60">
        <f t="shared" si="1"/>
        <v>9534</v>
      </c>
    </row>
    <row r="46" spans="1:19" ht="30.75" customHeight="1">
      <c r="A46" s="70" t="str">
        <f>Перечень!B403</f>
        <v>избирательный округ № 15, депутат Кияев В.А.</v>
      </c>
      <c r="B46" s="57"/>
      <c r="C46" s="58"/>
      <c r="D46" s="275">
        <v>2</v>
      </c>
      <c r="E46" s="276">
        <v>1471.8</v>
      </c>
      <c r="F46" s="277">
        <v>16</v>
      </c>
      <c r="G46" s="276">
        <v>6649.9</v>
      </c>
      <c r="H46" s="277"/>
      <c r="I46" s="276"/>
      <c r="J46" s="277"/>
      <c r="K46" s="276"/>
      <c r="L46" s="277"/>
      <c r="M46" s="276"/>
      <c r="N46" s="277"/>
      <c r="O46" s="276"/>
      <c r="P46" s="277"/>
      <c r="Q46" s="276"/>
      <c r="R46" s="278">
        <f t="shared" si="0"/>
        <v>18</v>
      </c>
      <c r="S46" s="279">
        <f t="shared" si="1"/>
        <v>8121.7</v>
      </c>
    </row>
    <row r="47" spans="1:19" ht="30" customHeight="1">
      <c r="A47" s="70" t="str">
        <f>Перечень!B422</f>
        <v>избирательный округ № 10, депутат Зеленцов Д.Г.</v>
      </c>
      <c r="B47" s="57"/>
      <c r="C47" s="58"/>
      <c r="D47" s="261"/>
      <c r="E47" s="256"/>
      <c r="F47" s="277">
        <v>3</v>
      </c>
      <c r="G47" s="276">
        <v>555.2</v>
      </c>
      <c r="H47" s="277"/>
      <c r="I47" s="276"/>
      <c r="J47" s="277"/>
      <c r="K47" s="276"/>
      <c r="L47" s="277"/>
      <c r="M47" s="276"/>
      <c r="N47" s="277"/>
      <c r="O47" s="276"/>
      <c r="P47" s="277"/>
      <c r="Q47" s="276"/>
      <c r="R47" s="278">
        <f t="shared" si="0"/>
        <v>3</v>
      </c>
      <c r="S47" s="279">
        <f t="shared" si="1"/>
        <v>555.2</v>
      </c>
    </row>
    <row r="48" spans="1:19" ht="29.25" customHeight="1">
      <c r="A48" s="70" t="str">
        <f>Перечень!B426</f>
        <v>избирательный округ № 13, депутат Димов О.Д.</v>
      </c>
      <c r="B48" s="57"/>
      <c r="C48" s="58"/>
      <c r="D48" s="261"/>
      <c r="E48" s="256"/>
      <c r="F48" s="277">
        <v>1</v>
      </c>
      <c r="G48" s="276">
        <v>241</v>
      </c>
      <c r="H48" s="277"/>
      <c r="I48" s="276"/>
      <c r="J48" s="277">
        <v>2</v>
      </c>
      <c r="K48" s="276">
        <v>616.1</v>
      </c>
      <c r="L48" s="277"/>
      <c r="M48" s="276"/>
      <c r="N48" s="277"/>
      <c r="O48" s="276"/>
      <c r="P48" s="277"/>
      <c r="Q48" s="276"/>
      <c r="R48" s="278">
        <f t="shared" si="0"/>
        <v>3</v>
      </c>
      <c r="S48" s="279">
        <f t="shared" si="1"/>
        <v>857.1</v>
      </c>
    </row>
    <row r="49" spans="1:19" ht="19.5" customHeight="1">
      <c r="A49" s="56" t="s">
        <v>457</v>
      </c>
      <c r="B49" s="57">
        <v>25.2</v>
      </c>
      <c r="C49" s="58">
        <v>2339</v>
      </c>
      <c r="D49" s="259"/>
      <c r="E49" s="253"/>
      <c r="F49" s="262">
        <v>2</v>
      </c>
      <c r="G49" s="59">
        <v>2440.1</v>
      </c>
      <c r="H49" s="262"/>
      <c r="I49" s="59"/>
      <c r="J49" s="262"/>
      <c r="K49" s="59"/>
      <c r="L49" s="262"/>
      <c r="M49" s="59"/>
      <c r="N49" s="262"/>
      <c r="O49" s="59"/>
      <c r="P49" s="262"/>
      <c r="Q49" s="59"/>
      <c r="R49" s="265">
        <f t="shared" si="0"/>
        <v>2</v>
      </c>
      <c r="S49" s="60">
        <f t="shared" si="1"/>
        <v>2440.1</v>
      </c>
    </row>
    <row r="50" spans="1:19" ht="21" customHeight="1">
      <c r="A50" s="56" t="s">
        <v>458</v>
      </c>
      <c r="B50" s="57">
        <v>27.9</v>
      </c>
      <c r="C50" s="58">
        <v>2572.38</v>
      </c>
      <c r="D50" s="258">
        <v>2</v>
      </c>
      <c r="E50" s="59">
        <v>741.2</v>
      </c>
      <c r="F50" s="262">
        <v>2</v>
      </c>
      <c r="G50" s="59">
        <v>1850</v>
      </c>
      <c r="H50" s="262"/>
      <c r="I50" s="59"/>
      <c r="J50" s="262"/>
      <c r="K50" s="59"/>
      <c r="L50" s="262"/>
      <c r="M50" s="59"/>
      <c r="N50" s="262"/>
      <c r="O50" s="59"/>
      <c r="P50" s="262"/>
      <c r="Q50" s="59"/>
      <c r="R50" s="265">
        <f t="shared" si="0"/>
        <v>4</v>
      </c>
      <c r="S50" s="60">
        <f t="shared" si="1"/>
        <v>2591.2</v>
      </c>
    </row>
    <row r="51" spans="1:19" ht="21.75" customHeight="1">
      <c r="A51" s="56" t="s">
        <v>459</v>
      </c>
      <c r="B51" s="57">
        <v>15</v>
      </c>
      <c r="C51" s="58">
        <v>1356.89</v>
      </c>
      <c r="D51" s="259"/>
      <c r="E51" s="253"/>
      <c r="F51" s="262">
        <v>10</v>
      </c>
      <c r="G51" s="59">
        <v>1265</v>
      </c>
      <c r="H51" s="262"/>
      <c r="I51" s="59"/>
      <c r="J51" s="262">
        <v>1</v>
      </c>
      <c r="K51" s="59">
        <v>150</v>
      </c>
      <c r="L51" s="262"/>
      <c r="M51" s="59"/>
      <c r="N51" s="262"/>
      <c r="O51" s="59"/>
      <c r="P51" s="262"/>
      <c r="Q51" s="59"/>
      <c r="R51" s="265">
        <f t="shared" si="0"/>
        <v>11</v>
      </c>
      <c r="S51" s="60">
        <f t="shared" si="1"/>
        <v>1415</v>
      </c>
    </row>
    <row r="52" spans="1:19" ht="19.5" customHeight="1">
      <c r="A52" s="56" t="s">
        <v>460</v>
      </c>
      <c r="B52" s="57">
        <v>29.3</v>
      </c>
      <c r="C52" s="58">
        <v>2739</v>
      </c>
      <c r="D52" s="259"/>
      <c r="E52" s="253"/>
      <c r="F52" s="262">
        <v>9</v>
      </c>
      <c r="G52" s="59">
        <v>2879.1</v>
      </c>
      <c r="H52" s="262"/>
      <c r="I52" s="59"/>
      <c r="J52" s="262"/>
      <c r="K52" s="59"/>
      <c r="L52" s="262"/>
      <c r="M52" s="59"/>
      <c r="N52" s="262"/>
      <c r="O52" s="59"/>
      <c r="P52" s="262"/>
      <c r="Q52" s="59"/>
      <c r="R52" s="265">
        <f t="shared" si="0"/>
        <v>9</v>
      </c>
      <c r="S52" s="60">
        <f t="shared" si="1"/>
        <v>2879.1</v>
      </c>
    </row>
    <row r="53" spans="1:19" ht="17.25" customHeight="1">
      <c r="A53" s="56" t="s">
        <v>461</v>
      </c>
      <c r="B53" s="57">
        <v>40.3</v>
      </c>
      <c r="C53" s="58">
        <v>3815.9</v>
      </c>
      <c r="D53" s="258">
        <v>4</v>
      </c>
      <c r="E53" s="59">
        <v>950</v>
      </c>
      <c r="F53" s="262">
        <v>7</v>
      </c>
      <c r="G53" s="59">
        <v>2644.2</v>
      </c>
      <c r="H53" s="263"/>
      <c r="I53" s="253"/>
      <c r="J53" s="263"/>
      <c r="K53" s="253"/>
      <c r="L53" s="262">
        <v>1</v>
      </c>
      <c r="M53" s="59">
        <v>200</v>
      </c>
      <c r="N53" s="263"/>
      <c r="O53" s="253"/>
      <c r="P53" s="262">
        <v>1</v>
      </c>
      <c r="Q53" s="59">
        <v>200</v>
      </c>
      <c r="R53" s="265">
        <f t="shared" si="0"/>
        <v>13</v>
      </c>
      <c r="S53" s="60">
        <f t="shared" si="1"/>
        <v>3994.2</v>
      </c>
    </row>
    <row r="54" spans="1:19" ht="21.75" customHeight="1">
      <c r="A54" s="56" t="s">
        <v>462</v>
      </c>
      <c r="B54" s="57">
        <v>13.3</v>
      </c>
      <c r="C54" s="58">
        <v>1179</v>
      </c>
      <c r="D54" s="258">
        <v>1</v>
      </c>
      <c r="E54" s="59">
        <f>Перечень!C475</f>
        <v>1224.2</v>
      </c>
      <c r="F54" s="262"/>
      <c r="G54" s="59"/>
      <c r="H54" s="262"/>
      <c r="I54" s="59"/>
      <c r="J54" s="262"/>
      <c r="K54" s="59"/>
      <c r="L54" s="262"/>
      <c r="M54" s="59"/>
      <c r="N54" s="262"/>
      <c r="O54" s="59"/>
      <c r="P54" s="262"/>
      <c r="Q54" s="59"/>
      <c r="R54" s="265">
        <f t="shared" si="0"/>
        <v>1</v>
      </c>
      <c r="S54" s="60">
        <f t="shared" si="1"/>
        <v>1224.2</v>
      </c>
    </row>
    <row r="55" spans="1:19" ht="15">
      <c r="A55" s="56" t="s">
        <v>463</v>
      </c>
      <c r="B55" s="57">
        <v>14.1</v>
      </c>
      <c r="C55" s="58">
        <v>1239.98</v>
      </c>
      <c r="D55" s="258">
        <v>6</v>
      </c>
      <c r="E55" s="59">
        <v>787.2</v>
      </c>
      <c r="F55" s="262">
        <v>8</v>
      </c>
      <c r="G55" s="59">
        <v>492.8</v>
      </c>
      <c r="H55" s="262"/>
      <c r="I55" s="59"/>
      <c r="J55" s="262"/>
      <c r="K55" s="59"/>
      <c r="L55" s="262"/>
      <c r="M55" s="59"/>
      <c r="N55" s="262"/>
      <c r="O55" s="59"/>
      <c r="P55" s="262"/>
      <c r="Q55" s="59"/>
      <c r="R55" s="265">
        <f t="shared" si="0"/>
        <v>14</v>
      </c>
      <c r="S55" s="60">
        <f t="shared" si="1"/>
        <v>1280</v>
      </c>
    </row>
    <row r="56" spans="1:19" ht="19.5" customHeight="1">
      <c r="A56" s="56" t="s">
        <v>464</v>
      </c>
      <c r="B56" s="57">
        <v>25</v>
      </c>
      <c r="C56" s="58">
        <v>2326</v>
      </c>
      <c r="D56" s="259"/>
      <c r="E56" s="253"/>
      <c r="F56" s="262">
        <v>2</v>
      </c>
      <c r="G56" s="59">
        <v>2422.7</v>
      </c>
      <c r="H56" s="262"/>
      <c r="I56" s="59"/>
      <c r="J56" s="262"/>
      <c r="K56" s="59"/>
      <c r="L56" s="262"/>
      <c r="M56" s="59"/>
      <c r="N56" s="262"/>
      <c r="O56" s="59"/>
      <c r="P56" s="262"/>
      <c r="Q56" s="59"/>
      <c r="R56" s="265">
        <f t="shared" si="0"/>
        <v>2</v>
      </c>
      <c r="S56" s="60">
        <f t="shared" si="1"/>
        <v>2422.7</v>
      </c>
    </row>
    <row r="57" spans="1:19" ht="21.75" customHeight="1">
      <c r="A57" s="56" t="s">
        <v>465</v>
      </c>
      <c r="B57" s="57">
        <v>32.1</v>
      </c>
      <c r="C57" s="58">
        <v>3027.94</v>
      </c>
      <c r="D57" s="259"/>
      <c r="E57" s="253"/>
      <c r="F57" s="262">
        <v>2</v>
      </c>
      <c r="G57" s="59">
        <f>Перечень!C494</f>
        <v>3196.8</v>
      </c>
      <c r="H57" s="262"/>
      <c r="I57" s="59"/>
      <c r="J57" s="262"/>
      <c r="K57" s="59"/>
      <c r="L57" s="262"/>
      <c r="M57" s="59"/>
      <c r="N57" s="262"/>
      <c r="O57" s="59"/>
      <c r="P57" s="262"/>
      <c r="Q57" s="59"/>
      <c r="R57" s="265">
        <f t="shared" si="0"/>
        <v>2</v>
      </c>
      <c r="S57" s="60">
        <f t="shared" si="1"/>
        <v>3196.8</v>
      </c>
    </row>
    <row r="58" spans="1:19" ht="19.5" customHeight="1">
      <c r="A58" s="56" t="s">
        <v>466</v>
      </c>
      <c r="B58" s="57">
        <v>19.1</v>
      </c>
      <c r="C58" s="58">
        <v>1737.95</v>
      </c>
      <c r="D58" s="258">
        <v>1</v>
      </c>
      <c r="E58" s="59">
        <v>752.2</v>
      </c>
      <c r="F58" s="262">
        <v>4</v>
      </c>
      <c r="G58" s="59">
        <v>1012.7</v>
      </c>
      <c r="H58" s="263"/>
      <c r="I58" s="253"/>
      <c r="J58" s="263"/>
      <c r="K58" s="253"/>
      <c r="L58" s="263"/>
      <c r="M58" s="253"/>
      <c r="N58" s="263"/>
      <c r="O58" s="253"/>
      <c r="P58" s="263"/>
      <c r="Q58" s="253"/>
      <c r="R58" s="265">
        <f t="shared" si="0"/>
        <v>5</v>
      </c>
      <c r="S58" s="60">
        <f t="shared" si="1"/>
        <v>1764.9</v>
      </c>
    </row>
    <row r="59" spans="1:19" ht="20.25" customHeight="1">
      <c r="A59" s="56" t="s">
        <v>467</v>
      </c>
      <c r="B59" s="57">
        <v>17.5</v>
      </c>
      <c r="C59" s="58">
        <v>1601</v>
      </c>
      <c r="D59" s="258">
        <v>1</v>
      </c>
      <c r="E59" s="59">
        <f>Перечень!C505</f>
        <v>800</v>
      </c>
      <c r="F59" s="262">
        <v>1</v>
      </c>
      <c r="G59" s="59">
        <f>Перечень!C504</f>
        <v>868.5</v>
      </c>
      <c r="H59" s="262"/>
      <c r="I59" s="59"/>
      <c r="J59" s="262"/>
      <c r="K59" s="59"/>
      <c r="L59" s="262"/>
      <c r="M59" s="59"/>
      <c r="N59" s="262"/>
      <c r="O59" s="59"/>
      <c r="P59" s="262"/>
      <c r="Q59" s="59"/>
      <c r="R59" s="265">
        <f t="shared" si="0"/>
        <v>2</v>
      </c>
      <c r="S59" s="60">
        <f t="shared" si="1"/>
        <v>1668.5</v>
      </c>
    </row>
    <row r="60" spans="1:19" ht="15">
      <c r="A60" s="56"/>
      <c r="B60" s="57">
        <v>20.5</v>
      </c>
      <c r="C60" s="58">
        <v>1890</v>
      </c>
      <c r="D60" s="259"/>
      <c r="E60" s="253"/>
      <c r="F60" s="263"/>
      <c r="G60" s="253"/>
      <c r="H60" s="263"/>
      <c r="I60" s="253"/>
      <c r="J60" s="263"/>
      <c r="K60" s="253"/>
      <c r="L60" s="263"/>
      <c r="M60" s="253"/>
      <c r="N60" s="263"/>
      <c r="O60" s="253"/>
      <c r="P60" s="263"/>
      <c r="Q60" s="253"/>
      <c r="R60" s="264">
        <f t="shared" si="0"/>
        <v>0</v>
      </c>
      <c r="S60" s="266">
        <f t="shared" si="1"/>
        <v>0</v>
      </c>
    </row>
    <row r="61" spans="1:19" ht="15">
      <c r="A61" s="64" t="s">
        <v>468</v>
      </c>
      <c r="B61" s="57"/>
      <c r="C61" s="60">
        <f>SUM(C6:C60)-C13-C20</f>
        <v>171995.96382000003</v>
      </c>
      <c r="D61" s="280">
        <f aca="true" t="shared" si="5" ref="D61:Q61">SUM(D6:D60)-D13-D20-D45</f>
        <v>54</v>
      </c>
      <c r="E61" s="60">
        <f t="shared" si="5"/>
        <v>20331.300000000003</v>
      </c>
      <c r="F61" s="265">
        <f t="shared" si="5"/>
        <v>331</v>
      </c>
      <c r="G61" s="60">
        <f t="shared" si="5"/>
        <v>141045.49999999997</v>
      </c>
      <c r="H61" s="60">
        <f t="shared" si="5"/>
        <v>2</v>
      </c>
      <c r="I61" s="60">
        <f t="shared" si="5"/>
        <v>277</v>
      </c>
      <c r="J61" s="265">
        <f t="shared" si="5"/>
        <v>36</v>
      </c>
      <c r="K61" s="60">
        <f t="shared" si="5"/>
        <v>29518.099999999995</v>
      </c>
      <c r="L61" s="265">
        <f t="shared" si="5"/>
        <v>14</v>
      </c>
      <c r="M61" s="60">
        <f t="shared" si="5"/>
        <v>5589.7</v>
      </c>
      <c r="N61" s="60">
        <f t="shared" si="5"/>
        <v>3</v>
      </c>
      <c r="O61" s="60">
        <f t="shared" si="5"/>
        <v>880</v>
      </c>
      <c r="P61" s="265">
        <f t="shared" si="5"/>
        <v>6</v>
      </c>
      <c r="Q61" s="60">
        <f t="shared" si="5"/>
        <v>1734.4</v>
      </c>
      <c r="R61" s="265">
        <f t="shared" si="0"/>
        <v>446</v>
      </c>
      <c r="S61" s="60">
        <f t="shared" si="1"/>
        <v>199376</v>
      </c>
    </row>
    <row r="62" spans="1:19" ht="15">
      <c r="A62" s="64"/>
      <c r="B62" s="57"/>
      <c r="C62" s="61"/>
      <c r="D62" s="255"/>
      <c r="E62" s="253"/>
      <c r="F62" s="253"/>
      <c r="G62" s="253"/>
      <c r="H62" s="263"/>
      <c r="I62" s="253"/>
      <c r="J62" s="253"/>
      <c r="K62" s="253"/>
      <c r="L62" s="253"/>
      <c r="M62" s="253"/>
      <c r="N62" s="263"/>
      <c r="O62" s="253"/>
      <c r="P62" s="253"/>
      <c r="Q62" s="253"/>
      <c r="R62" s="263"/>
      <c r="S62" s="253"/>
    </row>
    <row r="63" spans="1:19" ht="15">
      <c r="A63" s="65" t="s">
        <v>469</v>
      </c>
      <c r="B63" s="66"/>
      <c r="C63" s="66"/>
      <c r="D63" s="257"/>
      <c r="E63" s="253">
        <f>E61/S61*100</f>
        <v>10.197466094213949</v>
      </c>
      <c r="F63" s="253"/>
      <c r="G63" s="253">
        <f>G61/S61*100</f>
        <v>70.7434696252307</v>
      </c>
      <c r="H63" s="263"/>
      <c r="I63" s="253">
        <f>I61/S61*100</f>
        <v>0.13893347243399407</v>
      </c>
      <c r="J63" s="253"/>
      <c r="K63" s="253">
        <f>K61/S61*100</f>
        <v>14.805242356151188</v>
      </c>
      <c r="L63" s="254"/>
      <c r="M63" s="253">
        <f>M61/S61*100</f>
        <v>2.8035972233368107</v>
      </c>
      <c r="N63" s="263"/>
      <c r="O63" s="253">
        <f>O61/S61*100</f>
        <v>0.44137709654120855</v>
      </c>
      <c r="P63" s="253"/>
      <c r="Q63" s="253">
        <f>Q61/S61*100</f>
        <v>0.8699141320921274</v>
      </c>
      <c r="R63" s="253"/>
      <c r="S63" s="253">
        <f>E63+G63+I63+K63+M63+O63+Q63</f>
        <v>99.99999999999997</v>
      </c>
    </row>
  </sheetData>
  <sheetProtection/>
  <mergeCells count="10">
    <mergeCell ref="R4:S4"/>
    <mergeCell ref="A2:Q2"/>
    <mergeCell ref="A4:A5"/>
    <mergeCell ref="D4:E4"/>
    <mergeCell ref="F4:G4"/>
    <mergeCell ref="J4:K4"/>
    <mergeCell ref="L4:M4"/>
    <mergeCell ref="P4:Q4"/>
    <mergeCell ref="H4:I4"/>
    <mergeCell ref="N4:O4"/>
  </mergeCells>
  <printOptions/>
  <pageMargins left="0.35433070866141736" right="0.15748031496062992" top="0.7874015748031497" bottom="0.5905511811023623"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N505"/>
  <sheetViews>
    <sheetView zoomScalePageLayoutView="0" workbookViewId="0" topLeftCell="A399">
      <selection activeCell="G505" sqref="G505"/>
    </sheetView>
  </sheetViews>
  <sheetFormatPr defaultColWidth="9.125" defaultRowHeight="12.75"/>
  <cols>
    <col min="1" max="1" width="5.375" style="5" customWidth="1"/>
    <col min="2" max="2" width="77.625" style="34" customWidth="1"/>
    <col min="3" max="3" width="15.625" style="29" customWidth="1"/>
    <col min="4" max="4" width="17.50390625" style="29" customWidth="1"/>
    <col min="5" max="5" width="11.50390625" style="29" hidden="1" customWidth="1"/>
    <col min="6" max="6" width="11.125" style="29" hidden="1" customWidth="1"/>
    <col min="7" max="7" width="17.625" style="29" customWidth="1"/>
    <col min="8" max="8" width="14.125" style="29" customWidth="1"/>
    <col min="9" max="10" width="15.625" style="29" hidden="1" customWidth="1"/>
    <col min="11" max="11" width="15.50390625" style="29" hidden="1" customWidth="1"/>
    <col min="12" max="12" width="18.375" style="3" hidden="1" customWidth="1"/>
    <col min="13" max="13" width="14.50390625" style="32" customWidth="1"/>
    <col min="14" max="14" width="15.875" style="1" customWidth="1"/>
    <col min="15" max="16384" width="9.125" style="2" customWidth="1"/>
  </cols>
  <sheetData>
    <row r="1" spans="1:12" ht="6.75" customHeight="1">
      <c r="A1" s="329"/>
      <c r="B1" s="330"/>
      <c r="C1" s="330"/>
      <c r="D1" s="330"/>
      <c r="E1" s="330"/>
      <c r="F1" s="330"/>
      <c r="G1" s="330"/>
      <c r="H1" s="330"/>
      <c r="I1" s="330"/>
      <c r="J1" s="330"/>
      <c r="K1" s="330"/>
      <c r="L1" s="330"/>
    </row>
    <row r="2" spans="1:12" ht="17.25" customHeight="1">
      <c r="A2" s="331" t="s">
        <v>572</v>
      </c>
      <c r="B2" s="332"/>
      <c r="C2" s="332"/>
      <c r="D2" s="332"/>
      <c r="E2" s="332"/>
      <c r="F2" s="332"/>
      <c r="G2" s="332"/>
      <c r="H2" s="332"/>
      <c r="I2" s="332"/>
      <c r="J2" s="332"/>
      <c r="K2" s="332"/>
      <c r="L2" s="332"/>
    </row>
    <row r="3" spans="1:12" ht="12.75" customHeight="1" thickBot="1">
      <c r="A3" s="6"/>
      <c r="B3" s="7"/>
      <c r="C3" s="28"/>
      <c r="D3" s="28"/>
      <c r="E3" s="28"/>
      <c r="F3" s="28"/>
      <c r="G3" s="28"/>
      <c r="H3" s="28"/>
      <c r="I3" s="28"/>
      <c r="J3" s="28"/>
      <c r="K3" s="28"/>
      <c r="L3" s="88" t="s">
        <v>52</v>
      </c>
    </row>
    <row r="4" spans="1:14" s="5" customFormat="1" ht="48" customHeight="1">
      <c r="A4" s="333" t="s">
        <v>0</v>
      </c>
      <c r="B4" s="335" t="s">
        <v>1</v>
      </c>
      <c r="C4" s="337" t="s">
        <v>533</v>
      </c>
      <c r="D4" s="338" t="s">
        <v>534</v>
      </c>
      <c r="E4" s="339" t="s">
        <v>535</v>
      </c>
      <c r="F4" s="340"/>
      <c r="G4" s="335" t="s">
        <v>537</v>
      </c>
      <c r="H4" s="341" t="s">
        <v>538</v>
      </c>
      <c r="I4" s="343" t="s">
        <v>539</v>
      </c>
      <c r="J4" s="343" t="s">
        <v>540</v>
      </c>
      <c r="K4" s="345" t="s">
        <v>568</v>
      </c>
      <c r="L4" s="347" t="s">
        <v>541</v>
      </c>
      <c r="M4" s="33"/>
      <c r="N4" s="4"/>
    </row>
    <row r="5" spans="1:14" s="5" customFormat="1" ht="51" customHeight="1">
      <c r="A5" s="334"/>
      <c r="B5" s="336"/>
      <c r="C5" s="336"/>
      <c r="D5" s="336"/>
      <c r="E5" s="149" t="s">
        <v>418</v>
      </c>
      <c r="F5" s="150" t="s">
        <v>536</v>
      </c>
      <c r="G5" s="335"/>
      <c r="H5" s="342"/>
      <c r="I5" s="344"/>
      <c r="J5" s="344"/>
      <c r="K5" s="346"/>
      <c r="L5" s="348"/>
      <c r="M5" s="33"/>
      <c r="N5" s="4"/>
    </row>
    <row r="6" spans="1:14" s="5" customFormat="1" ht="11.25" customHeight="1">
      <c r="A6" s="151">
        <v>1</v>
      </c>
      <c r="B6" s="152">
        <v>2</v>
      </c>
      <c r="C6" s="153">
        <v>3</v>
      </c>
      <c r="D6" s="153">
        <v>4</v>
      </c>
      <c r="E6" s="153">
        <v>5</v>
      </c>
      <c r="F6" s="154">
        <v>6</v>
      </c>
      <c r="G6" s="153">
        <v>7</v>
      </c>
      <c r="H6" s="183">
        <v>8</v>
      </c>
      <c r="I6" s="153">
        <v>9</v>
      </c>
      <c r="J6" s="153">
        <v>10</v>
      </c>
      <c r="K6" s="187">
        <v>11</v>
      </c>
      <c r="L6" s="153">
        <v>12</v>
      </c>
      <c r="M6" s="33"/>
      <c r="N6" s="4"/>
    </row>
    <row r="7" spans="1:12" ht="21.75" customHeight="1" hidden="1">
      <c r="A7" s="349" t="s">
        <v>2</v>
      </c>
      <c r="B7" s="350"/>
      <c r="C7" s="75">
        <v>2683.8</v>
      </c>
      <c r="D7" s="75">
        <f>SUM(D8:D11)</f>
        <v>2576.3999999999996</v>
      </c>
      <c r="E7" s="71">
        <f aca="true" t="shared" si="0" ref="E7:E70">C7-D7</f>
        <v>107.40000000000055</v>
      </c>
      <c r="F7" s="71">
        <f aca="true" t="shared" si="1" ref="F7:F70">100-D7/C7*100</f>
        <v>4.001788508830785</v>
      </c>
      <c r="G7" s="75">
        <f>SUM(G8:G11)</f>
        <v>2576.3999999999996</v>
      </c>
      <c r="H7" s="71">
        <f aca="true" t="shared" si="2" ref="H7:H70">G7-D7</f>
        <v>0</v>
      </c>
      <c r="I7" s="75">
        <f>SUM(I8:I11)</f>
        <v>2205.2999999999997</v>
      </c>
      <c r="J7" s="75">
        <f>SUM(J8:J11)</f>
        <v>1908.8999999999999</v>
      </c>
      <c r="K7" s="188">
        <f>D7-I7</f>
        <v>371.0999999999999</v>
      </c>
      <c r="L7" s="76"/>
    </row>
    <row r="8" spans="1:12" ht="21.75" customHeight="1" hidden="1">
      <c r="A8" s="94">
        <v>1</v>
      </c>
      <c r="B8" s="95" t="s">
        <v>88</v>
      </c>
      <c r="C8" s="12">
        <v>506.8</v>
      </c>
      <c r="D8" s="12">
        <v>506.8</v>
      </c>
      <c r="E8" s="9">
        <f t="shared" si="0"/>
        <v>0</v>
      </c>
      <c r="F8" s="89">
        <f t="shared" si="1"/>
        <v>0</v>
      </c>
      <c r="G8" s="12">
        <v>506.8</v>
      </c>
      <c r="H8" s="155">
        <f t="shared" si="2"/>
        <v>0</v>
      </c>
      <c r="I8" s="12">
        <v>506.8</v>
      </c>
      <c r="J8" s="12">
        <v>506.8</v>
      </c>
      <c r="K8" s="188">
        <f aca="true" t="shared" si="3" ref="K8:K71">D8-I8</f>
        <v>0</v>
      </c>
      <c r="L8" s="10"/>
    </row>
    <row r="9" spans="1:12" ht="21.75" customHeight="1" hidden="1">
      <c r="A9" s="94">
        <v>2</v>
      </c>
      <c r="B9" s="95" t="s">
        <v>89</v>
      </c>
      <c r="C9" s="12">
        <v>1203.6</v>
      </c>
      <c r="D9" s="12">
        <v>1203.6</v>
      </c>
      <c r="E9" s="9">
        <f t="shared" si="0"/>
        <v>0</v>
      </c>
      <c r="F9" s="89">
        <f t="shared" si="1"/>
        <v>0</v>
      </c>
      <c r="G9" s="12">
        <v>1203.6</v>
      </c>
      <c r="H9" s="155">
        <f t="shared" si="2"/>
        <v>0</v>
      </c>
      <c r="I9" s="12">
        <v>1203.6</v>
      </c>
      <c r="J9" s="12">
        <v>1203.6</v>
      </c>
      <c r="K9" s="188">
        <f t="shared" si="3"/>
        <v>0</v>
      </c>
      <c r="L9" s="10"/>
    </row>
    <row r="10" spans="1:12" ht="37.5" customHeight="1" hidden="1">
      <c r="A10" s="94">
        <v>3</v>
      </c>
      <c r="B10" s="95" t="s">
        <v>472</v>
      </c>
      <c r="C10" s="12">
        <v>602.3</v>
      </c>
      <c r="D10" s="12">
        <v>494.9</v>
      </c>
      <c r="E10" s="9">
        <f t="shared" si="0"/>
        <v>107.39999999999998</v>
      </c>
      <c r="F10" s="89">
        <f t="shared" si="1"/>
        <v>17.831645359455422</v>
      </c>
      <c r="G10" s="12">
        <v>494.9</v>
      </c>
      <c r="H10" s="155">
        <f t="shared" si="2"/>
        <v>0</v>
      </c>
      <c r="I10" s="12">
        <v>494.9</v>
      </c>
      <c r="J10" s="12">
        <v>198.5</v>
      </c>
      <c r="K10" s="188">
        <f t="shared" si="3"/>
        <v>0</v>
      </c>
      <c r="L10" s="10"/>
    </row>
    <row r="11" spans="1:12" ht="33.75" customHeight="1" hidden="1">
      <c r="A11" s="94">
        <v>4</v>
      </c>
      <c r="B11" s="95" t="s">
        <v>90</v>
      </c>
      <c r="C11" s="12">
        <v>371.1</v>
      </c>
      <c r="D11" s="12">
        <v>371.1</v>
      </c>
      <c r="E11" s="9">
        <f t="shared" si="0"/>
        <v>0</v>
      </c>
      <c r="F11" s="89">
        <f t="shared" si="1"/>
        <v>0</v>
      </c>
      <c r="G11" s="12">
        <v>371.1</v>
      </c>
      <c r="H11" s="155">
        <f t="shared" si="2"/>
        <v>0</v>
      </c>
      <c r="I11" s="12">
        <v>0</v>
      </c>
      <c r="J11" s="12">
        <v>0</v>
      </c>
      <c r="K11" s="188">
        <f t="shared" si="3"/>
        <v>371.1</v>
      </c>
      <c r="L11" s="10"/>
    </row>
    <row r="12" spans="1:12" ht="22.5" customHeight="1" hidden="1">
      <c r="A12" s="96" t="s">
        <v>3</v>
      </c>
      <c r="B12" s="97"/>
      <c r="C12" s="73">
        <v>5026.6</v>
      </c>
      <c r="D12" s="73">
        <f>SUM(D13:D28)</f>
        <v>4825.5</v>
      </c>
      <c r="E12" s="73">
        <f t="shared" si="0"/>
        <v>201.10000000000036</v>
      </c>
      <c r="F12" s="73">
        <f t="shared" si="1"/>
        <v>4.000716189869905</v>
      </c>
      <c r="G12" s="73">
        <f>SUM(G13:G28)</f>
        <v>4824.5</v>
      </c>
      <c r="H12" s="73">
        <f t="shared" si="2"/>
        <v>-1</v>
      </c>
      <c r="I12" s="73">
        <f>SUM(I13:I28)</f>
        <v>4694.4</v>
      </c>
      <c r="J12" s="73">
        <f>SUM(J13:J28)</f>
        <v>4553.469999999999</v>
      </c>
      <c r="K12" s="188">
        <f t="shared" si="3"/>
        <v>131.10000000000036</v>
      </c>
      <c r="L12" s="74"/>
    </row>
    <row r="13" spans="1:13" ht="50.25" hidden="1">
      <c r="A13" s="98">
        <v>1</v>
      </c>
      <c r="B13" s="99" t="s">
        <v>83</v>
      </c>
      <c r="C13" s="9">
        <v>551.6</v>
      </c>
      <c r="D13" s="9">
        <v>550.5</v>
      </c>
      <c r="E13" s="9">
        <f t="shared" si="0"/>
        <v>1.1000000000000227</v>
      </c>
      <c r="F13" s="89">
        <f t="shared" si="1"/>
        <v>0.19941986947063128</v>
      </c>
      <c r="G13" s="9">
        <v>550.5</v>
      </c>
      <c r="H13" s="155">
        <f t="shared" si="2"/>
        <v>0</v>
      </c>
      <c r="I13" s="9">
        <v>550.5</v>
      </c>
      <c r="J13" s="9">
        <v>550.5</v>
      </c>
      <c r="K13" s="188">
        <f t="shared" si="3"/>
        <v>0</v>
      </c>
      <c r="L13" s="10"/>
      <c r="M13" s="69"/>
    </row>
    <row r="14" spans="1:13" ht="30.75" customHeight="1" hidden="1">
      <c r="A14" s="98">
        <v>2</v>
      </c>
      <c r="B14" s="99" t="s">
        <v>84</v>
      </c>
      <c r="C14" s="9">
        <v>200</v>
      </c>
      <c r="D14" s="9">
        <v>200</v>
      </c>
      <c r="E14" s="9">
        <f t="shared" si="0"/>
        <v>0</v>
      </c>
      <c r="F14" s="89">
        <f t="shared" si="1"/>
        <v>0</v>
      </c>
      <c r="G14" s="9">
        <v>200</v>
      </c>
      <c r="H14" s="155">
        <f t="shared" si="2"/>
        <v>0</v>
      </c>
      <c r="I14" s="9">
        <v>200</v>
      </c>
      <c r="J14" s="9">
        <v>200</v>
      </c>
      <c r="K14" s="188">
        <f t="shared" si="3"/>
        <v>0</v>
      </c>
      <c r="L14" s="10"/>
      <c r="M14" s="68"/>
    </row>
    <row r="15" spans="1:13" ht="33" customHeight="1" hidden="1">
      <c r="A15" s="98">
        <v>3</v>
      </c>
      <c r="B15" s="99" t="s">
        <v>85</v>
      </c>
      <c r="C15" s="9">
        <v>270</v>
      </c>
      <c r="D15" s="9">
        <v>270</v>
      </c>
      <c r="E15" s="9">
        <f t="shared" si="0"/>
        <v>0</v>
      </c>
      <c r="F15" s="89">
        <f t="shared" si="1"/>
        <v>0</v>
      </c>
      <c r="G15" s="9">
        <v>270</v>
      </c>
      <c r="H15" s="155">
        <f t="shared" si="2"/>
        <v>0</v>
      </c>
      <c r="I15" s="9">
        <v>270</v>
      </c>
      <c r="J15" s="9">
        <v>270</v>
      </c>
      <c r="K15" s="188">
        <f t="shared" si="3"/>
        <v>0</v>
      </c>
      <c r="L15" s="10"/>
      <c r="M15" s="68"/>
    </row>
    <row r="16" spans="1:13" ht="31.5" customHeight="1" hidden="1">
      <c r="A16" s="98">
        <v>4</v>
      </c>
      <c r="B16" s="99" t="s">
        <v>86</v>
      </c>
      <c r="C16" s="9">
        <v>560</v>
      </c>
      <c r="D16" s="9">
        <v>560</v>
      </c>
      <c r="E16" s="9">
        <f t="shared" si="0"/>
        <v>0</v>
      </c>
      <c r="F16" s="89">
        <f t="shared" si="1"/>
        <v>0</v>
      </c>
      <c r="G16" s="9">
        <v>560</v>
      </c>
      <c r="H16" s="155">
        <f t="shared" si="2"/>
        <v>0</v>
      </c>
      <c r="I16" s="9">
        <v>560</v>
      </c>
      <c r="J16" s="9">
        <v>560</v>
      </c>
      <c r="K16" s="188">
        <f t="shared" si="3"/>
        <v>0</v>
      </c>
      <c r="L16" s="10"/>
      <c r="M16" s="68"/>
    </row>
    <row r="17" spans="1:13" ht="35.25" customHeight="1" hidden="1">
      <c r="A17" s="98">
        <v>5</v>
      </c>
      <c r="B17" s="99" t="s">
        <v>87</v>
      </c>
      <c r="C17" s="9">
        <v>200</v>
      </c>
      <c r="D17" s="9">
        <v>200</v>
      </c>
      <c r="E17" s="9">
        <f t="shared" si="0"/>
        <v>0</v>
      </c>
      <c r="F17" s="89">
        <f t="shared" si="1"/>
        <v>0</v>
      </c>
      <c r="G17" s="9">
        <v>200</v>
      </c>
      <c r="H17" s="155">
        <f t="shared" si="2"/>
        <v>0</v>
      </c>
      <c r="I17" s="9">
        <v>200</v>
      </c>
      <c r="J17" s="9">
        <v>159</v>
      </c>
      <c r="K17" s="188">
        <f t="shared" si="3"/>
        <v>0</v>
      </c>
      <c r="L17" s="10"/>
      <c r="M17" s="68"/>
    </row>
    <row r="18" spans="1:13" ht="55.5" customHeight="1" hidden="1">
      <c r="A18" s="98">
        <v>6</v>
      </c>
      <c r="B18" s="99" t="s">
        <v>397</v>
      </c>
      <c r="C18" s="9">
        <v>399</v>
      </c>
      <c r="D18" s="9">
        <v>399</v>
      </c>
      <c r="E18" s="9">
        <f t="shared" si="0"/>
        <v>0</v>
      </c>
      <c r="F18" s="89">
        <f t="shared" si="1"/>
        <v>0</v>
      </c>
      <c r="G18" s="9">
        <v>399</v>
      </c>
      <c r="H18" s="155">
        <f t="shared" si="2"/>
        <v>0</v>
      </c>
      <c r="I18" s="9">
        <v>399</v>
      </c>
      <c r="J18" s="9">
        <v>399</v>
      </c>
      <c r="K18" s="188">
        <f t="shared" si="3"/>
        <v>0</v>
      </c>
      <c r="L18" s="10"/>
      <c r="M18" s="68"/>
    </row>
    <row r="19" spans="1:13" ht="65.25" customHeight="1" hidden="1">
      <c r="A19" s="100">
        <v>7</v>
      </c>
      <c r="B19" s="101" t="s">
        <v>398</v>
      </c>
      <c r="C19" s="38">
        <v>251</v>
      </c>
      <c r="D19" s="38">
        <v>251</v>
      </c>
      <c r="E19" s="9">
        <f t="shared" si="0"/>
        <v>0</v>
      </c>
      <c r="F19" s="89">
        <f t="shared" si="1"/>
        <v>0</v>
      </c>
      <c r="G19" s="38">
        <v>251</v>
      </c>
      <c r="H19" s="155">
        <f t="shared" si="2"/>
        <v>0</v>
      </c>
      <c r="I19" s="38">
        <v>251</v>
      </c>
      <c r="J19" s="38">
        <v>251</v>
      </c>
      <c r="K19" s="188">
        <f t="shared" si="3"/>
        <v>0</v>
      </c>
      <c r="L19" s="10"/>
      <c r="M19" s="68"/>
    </row>
    <row r="20" spans="1:13" ht="48.75" customHeight="1" hidden="1">
      <c r="A20" s="100">
        <v>8</v>
      </c>
      <c r="B20" s="101" t="s">
        <v>91</v>
      </c>
      <c r="C20" s="38">
        <v>330</v>
      </c>
      <c r="D20" s="38">
        <v>330</v>
      </c>
      <c r="E20" s="9">
        <f t="shared" si="0"/>
        <v>0</v>
      </c>
      <c r="F20" s="89">
        <f t="shared" si="1"/>
        <v>0</v>
      </c>
      <c r="G20" s="38">
        <v>330</v>
      </c>
      <c r="H20" s="155">
        <f t="shared" si="2"/>
        <v>0</v>
      </c>
      <c r="I20" s="38">
        <v>199.9</v>
      </c>
      <c r="J20" s="38">
        <v>99.97</v>
      </c>
      <c r="K20" s="188">
        <f t="shared" si="3"/>
        <v>130.1</v>
      </c>
      <c r="L20" s="10"/>
      <c r="M20" s="68"/>
    </row>
    <row r="21" spans="1:13" ht="45.75" customHeight="1" hidden="1">
      <c r="A21" s="98">
        <v>9</v>
      </c>
      <c r="B21" s="102" t="s">
        <v>399</v>
      </c>
      <c r="C21" s="9">
        <v>120</v>
      </c>
      <c r="D21" s="9">
        <v>120</v>
      </c>
      <c r="E21" s="9">
        <f t="shared" si="0"/>
        <v>0</v>
      </c>
      <c r="F21" s="89">
        <f t="shared" si="1"/>
        <v>0</v>
      </c>
      <c r="G21" s="9">
        <v>120</v>
      </c>
      <c r="H21" s="155">
        <f t="shared" si="2"/>
        <v>0</v>
      </c>
      <c r="I21" s="9">
        <v>120</v>
      </c>
      <c r="J21" s="9">
        <v>120</v>
      </c>
      <c r="K21" s="188">
        <f t="shared" si="3"/>
        <v>0</v>
      </c>
      <c r="L21" s="10"/>
      <c r="M21" s="68"/>
    </row>
    <row r="22" spans="1:13" ht="33" customHeight="1" hidden="1">
      <c r="A22" s="98">
        <v>10</v>
      </c>
      <c r="B22" s="102" t="s">
        <v>92</v>
      </c>
      <c r="C22" s="9">
        <v>200</v>
      </c>
      <c r="D22" s="9">
        <v>200</v>
      </c>
      <c r="E22" s="9">
        <f t="shared" si="0"/>
        <v>0</v>
      </c>
      <c r="F22" s="89">
        <f t="shared" si="1"/>
        <v>0</v>
      </c>
      <c r="G22" s="9">
        <v>199</v>
      </c>
      <c r="H22" s="155">
        <f t="shared" si="2"/>
        <v>-1</v>
      </c>
      <c r="I22" s="9">
        <v>199</v>
      </c>
      <c r="J22" s="9">
        <v>199</v>
      </c>
      <c r="K22" s="188">
        <f t="shared" si="3"/>
        <v>1</v>
      </c>
      <c r="L22" s="10"/>
      <c r="M22" s="68"/>
    </row>
    <row r="23" spans="1:13" ht="62.25" customHeight="1" hidden="1">
      <c r="A23" s="98">
        <v>11</v>
      </c>
      <c r="B23" s="95" t="s">
        <v>93</v>
      </c>
      <c r="C23" s="9">
        <v>150</v>
      </c>
      <c r="D23" s="9">
        <v>150</v>
      </c>
      <c r="E23" s="9">
        <f t="shared" si="0"/>
        <v>0</v>
      </c>
      <c r="F23" s="89">
        <f t="shared" si="1"/>
        <v>0</v>
      </c>
      <c r="G23" s="9">
        <v>150</v>
      </c>
      <c r="H23" s="155">
        <f t="shared" si="2"/>
        <v>0</v>
      </c>
      <c r="I23" s="9">
        <v>150</v>
      </c>
      <c r="J23" s="9">
        <v>150</v>
      </c>
      <c r="K23" s="188">
        <f t="shared" si="3"/>
        <v>0</v>
      </c>
      <c r="L23" s="10"/>
      <c r="M23" s="68"/>
    </row>
    <row r="24" spans="1:13" ht="51.75" customHeight="1" hidden="1">
      <c r="A24" s="103">
        <v>12</v>
      </c>
      <c r="B24" s="104" t="s">
        <v>94</v>
      </c>
      <c r="C24" s="39">
        <v>150</v>
      </c>
      <c r="D24" s="39">
        <v>150</v>
      </c>
      <c r="E24" s="9">
        <f t="shared" si="0"/>
        <v>0</v>
      </c>
      <c r="F24" s="89">
        <f t="shared" si="1"/>
        <v>0</v>
      </c>
      <c r="G24" s="39">
        <v>150</v>
      </c>
      <c r="H24" s="155">
        <f t="shared" si="2"/>
        <v>0</v>
      </c>
      <c r="I24" s="39">
        <v>150</v>
      </c>
      <c r="J24" s="39">
        <v>150</v>
      </c>
      <c r="K24" s="188">
        <f t="shared" si="3"/>
        <v>0</v>
      </c>
      <c r="L24" s="10"/>
      <c r="M24" s="68"/>
    </row>
    <row r="25" spans="1:13" ht="69" customHeight="1" hidden="1">
      <c r="A25" s="98">
        <v>13</v>
      </c>
      <c r="B25" s="99" t="s">
        <v>95</v>
      </c>
      <c r="C25" s="9">
        <v>785</v>
      </c>
      <c r="D25" s="9">
        <v>785</v>
      </c>
      <c r="E25" s="9">
        <f t="shared" si="0"/>
        <v>0</v>
      </c>
      <c r="F25" s="89">
        <f t="shared" si="1"/>
        <v>0</v>
      </c>
      <c r="G25" s="9">
        <v>785</v>
      </c>
      <c r="H25" s="155">
        <f t="shared" si="2"/>
        <v>0</v>
      </c>
      <c r="I25" s="9">
        <v>785</v>
      </c>
      <c r="J25" s="9">
        <v>785</v>
      </c>
      <c r="K25" s="188">
        <f t="shared" si="3"/>
        <v>0</v>
      </c>
      <c r="L25" s="10"/>
      <c r="M25" s="68"/>
    </row>
    <row r="26" spans="1:13" ht="67.5" customHeight="1" hidden="1">
      <c r="A26" s="98">
        <v>14</v>
      </c>
      <c r="B26" s="99" t="s">
        <v>400</v>
      </c>
      <c r="C26" s="9">
        <v>400</v>
      </c>
      <c r="D26" s="9">
        <v>400</v>
      </c>
      <c r="E26" s="9">
        <f t="shared" si="0"/>
        <v>0</v>
      </c>
      <c r="F26" s="89">
        <f t="shared" si="1"/>
        <v>0</v>
      </c>
      <c r="G26" s="9">
        <v>400</v>
      </c>
      <c r="H26" s="155">
        <f t="shared" si="2"/>
        <v>0</v>
      </c>
      <c r="I26" s="9">
        <v>400</v>
      </c>
      <c r="J26" s="9">
        <v>400</v>
      </c>
      <c r="K26" s="188">
        <f t="shared" si="3"/>
        <v>0</v>
      </c>
      <c r="L26" s="10"/>
      <c r="M26" s="68"/>
    </row>
    <row r="27" spans="1:13" ht="74.25" customHeight="1" hidden="1">
      <c r="A27" s="98">
        <v>15</v>
      </c>
      <c r="B27" s="99" t="s">
        <v>522</v>
      </c>
      <c r="C27" s="9">
        <v>200</v>
      </c>
      <c r="D27" s="9">
        <v>0</v>
      </c>
      <c r="E27" s="9">
        <f t="shared" si="0"/>
        <v>200</v>
      </c>
      <c r="F27" s="89">
        <f t="shared" si="1"/>
        <v>100</v>
      </c>
      <c r="G27" s="9">
        <v>0</v>
      </c>
      <c r="H27" s="155">
        <f t="shared" si="2"/>
        <v>0</v>
      </c>
      <c r="I27" s="9">
        <v>0</v>
      </c>
      <c r="J27" s="9">
        <v>0</v>
      </c>
      <c r="K27" s="188">
        <f t="shared" si="3"/>
        <v>0</v>
      </c>
      <c r="L27" s="10"/>
      <c r="M27" s="68"/>
    </row>
    <row r="28" spans="1:13" ht="47.25" customHeight="1" hidden="1">
      <c r="A28" s="98">
        <v>16</v>
      </c>
      <c r="B28" s="99" t="s">
        <v>96</v>
      </c>
      <c r="C28" s="9">
        <v>260</v>
      </c>
      <c r="D28" s="9">
        <v>260</v>
      </c>
      <c r="E28" s="9">
        <f t="shared" si="0"/>
        <v>0</v>
      </c>
      <c r="F28" s="89">
        <f t="shared" si="1"/>
        <v>0</v>
      </c>
      <c r="G28" s="9">
        <v>260</v>
      </c>
      <c r="H28" s="155">
        <f t="shared" si="2"/>
        <v>0</v>
      </c>
      <c r="I28" s="9">
        <v>260</v>
      </c>
      <c r="J28" s="9">
        <v>260</v>
      </c>
      <c r="K28" s="188">
        <f t="shared" si="3"/>
        <v>0</v>
      </c>
      <c r="L28" s="10"/>
      <c r="M28" s="68"/>
    </row>
    <row r="29" spans="1:12" ht="22.5" customHeight="1" hidden="1">
      <c r="A29" s="351" t="s">
        <v>4</v>
      </c>
      <c r="B29" s="352"/>
      <c r="C29" s="71">
        <v>8676.8</v>
      </c>
      <c r="D29" s="71">
        <f>SUM(D30:D32)</f>
        <v>8329.7</v>
      </c>
      <c r="E29" s="71">
        <f t="shared" si="0"/>
        <v>347.09999999999854</v>
      </c>
      <c r="F29" s="71">
        <f t="shared" si="1"/>
        <v>4.000322699612752</v>
      </c>
      <c r="G29" s="71">
        <f>SUM(G30:G32)</f>
        <v>8329.7</v>
      </c>
      <c r="H29" s="71">
        <f t="shared" si="2"/>
        <v>0</v>
      </c>
      <c r="I29" s="71">
        <f>SUM(I30:I32)</f>
        <v>4242.80564</v>
      </c>
      <c r="J29" s="71">
        <f>SUM(J30:J32)</f>
        <v>2949.46</v>
      </c>
      <c r="K29" s="188">
        <f t="shared" si="3"/>
        <v>4086.894360000001</v>
      </c>
      <c r="L29" s="72"/>
    </row>
    <row r="30" spans="1:12" ht="73.5" customHeight="1" hidden="1">
      <c r="A30" s="94">
        <v>1</v>
      </c>
      <c r="B30" s="95" t="s">
        <v>503</v>
      </c>
      <c r="C30" s="12">
        <v>6614.8</v>
      </c>
      <c r="D30" s="12">
        <v>6267.7</v>
      </c>
      <c r="E30" s="9">
        <f t="shared" si="0"/>
        <v>347.10000000000036</v>
      </c>
      <c r="F30" s="89">
        <f t="shared" si="1"/>
        <v>5.247324182137035</v>
      </c>
      <c r="G30" s="12">
        <v>6267.7</v>
      </c>
      <c r="H30" s="155">
        <f t="shared" si="2"/>
        <v>0</v>
      </c>
      <c r="I30" s="12">
        <v>2950.46</v>
      </c>
      <c r="J30" s="12">
        <v>2949.46</v>
      </c>
      <c r="K30" s="188">
        <f t="shared" si="3"/>
        <v>3317.24</v>
      </c>
      <c r="L30" s="10"/>
    </row>
    <row r="31" spans="1:12" ht="33" hidden="1">
      <c r="A31" s="94">
        <v>2</v>
      </c>
      <c r="B31" s="95" t="s">
        <v>74</v>
      </c>
      <c r="C31" s="12">
        <v>1062</v>
      </c>
      <c r="D31" s="12">
        <v>1062</v>
      </c>
      <c r="E31" s="9">
        <f t="shared" si="0"/>
        <v>0</v>
      </c>
      <c r="F31" s="89">
        <f t="shared" si="1"/>
        <v>0</v>
      </c>
      <c r="G31" s="12">
        <v>1062</v>
      </c>
      <c r="H31" s="155">
        <f t="shared" si="2"/>
        <v>0</v>
      </c>
      <c r="I31" s="12">
        <v>318.6</v>
      </c>
      <c r="J31" s="12">
        <v>0</v>
      </c>
      <c r="K31" s="188">
        <f t="shared" si="3"/>
        <v>743.4</v>
      </c>
      <c r="L31" s="10"/>
    </row>
    <row r="32" spans="1:12" ht="50.25" hidden="1">
      <c r="A32" s="105">
        <v>3</v>
      </c>
      <c r="B32" s="95" t="s">
        <v>82</v>
      </c>
      <c r="C32" s="12">
        <v>1000</v>
      </c>
      <c r="D32" s="12">
        <v>1000</v>
      </c>
      <c r="E32" s="9">
        <f t="shared" si="0"/>
        <v>0</v>
      </c>
      <c r="F32" s="89">
        <f t="shared" si="1"/>
        <v>0</v>
      </c>
      <c r="G32" s="12">
        <v>1000</v>
      </c>
      <c r="H32" s="155">
        <f t="shared" si="2"/>
        <v>0</v>
      </c>
      <c r="I32" s="12">
        <v>973.74564</v>
      </c>
      <c r="J32" s="12">
        <v>0</v>
      </c>
      <c r="K32" s="188">
        <f t="shared" si="3"/>
        <v>26.25436000000002</v>
      </c>
      <c r="L32" s="10"/>
    </row>
    <row r="33" spans="1:12" ht="31.5" customHeight="1" hidden="1">
      <c r="A33" s="353" t="s">
        <v>5</v>
      </c>
      <c r="B33" s="354"/>
      <c r="C33" s="71">
        <v>4513</v>
      </c>
      <c r="D33" s="71">
        <f>SUM(D34:D51)</f>
        <v>4332.5</v>
      </c>
      <c r="E33" s="71">
        <f t="shared" si="0"/>
        <v>180.5</v>
      </c>
      <c r="F33" s="71">
        <f t="shared" si="1"/>
        <v>3.9995568358076667</v>
      </c>
      <c r="G33" s="71">
        <f>SUM(G34:G51)</f>
        <v>4332.5</v>
      </c>
      <c r="H33" s="71">
        <f t="shared" si="2"/>
        <v>0</v>
      </c>
      <c r="I33" s="71">
        <f>SUM(I34:I51)</f>
        <v>4332.5</v>
      </c>
      <c r="J33" s="71">
        <f>SUM(J34:J51)</f>
        <v>3258.4</v>
      </c>
      <c r="K33" s="188">
        <f t="shared" si="3"/>
        <v>0</v>
      </c>
      <c r="L33" s="72"/>
    </row>
    <row r="34" spans="1:12" ht="33" hidden="1">
      <c r="A34" s="94">
        <v>1</v>
      </c>
      <c r="B34" s="106" t="s">
        <v>415</v>
      </c>
      <c r="C34" s="9">
        <v>177.3</v>
      </c>
      <c r="D34" s="9">
        <v>177.3</v>
      </c>
      <c r="E34" s="9">
        <f t="shared" si="0"/>
        <v>0</v>
      </c>
      <c r="F34" s="89">
        <f t="shared" si="1"/>
        <v>0</v>
      </c>
      <c r="G34" s="9">
        <v>177.3</v>
      </c>
      <c r="H34" s="155">
        <f t="shared" si="2"/>
        <v>0</v>
      </c>
      <c r="I34" s="9">
        <v>177.3</v>
      </c>
      <c r="J34" s="9">
        <v>177.3</v>
      </c>
      <c r="K34" s="188">
        <f t="shared" si="3"/>
        <v>0</v>
      </c>
      <c r="L34" s="10"/>
    </row>
    <row r="35" spans="1:12" ht="47.25" customHeight="1" hidden="1">
      <c r="A35" s="94">
        <v>2</v>
      </c>
      <c r="B35" s="95" t="s">
        <v>504</v>
      </c>
      <c r="C35" s="12">
        <v>226</v>
      </c>
      <c r="D35" s="12">
        <v>226</v>
      </c>
      <c r="E35" s="9">
        <f t="shared" si="0"/>
        <v>0</v>
      </c>
      <c r="F35" s="89">
        <f t="shared" si="1"/>
        <v>0</v>
      </c>
      <c r="G35" s="12">
        <v>226</v>
      </c>
      <c r="H35" s="155">
        <f t="shared" si="2"/>
        <v>0</v>
      </c>
      <c r="I35" s="12">
        <v>226</v>
      </c>
      <c r="J35" s="12">
        <v>226</v>
      </c>
      <c r="K35" s="188">
        <f t="shared" si="3"/>
        <v>0</v>
      </c>
      <c r="L35" s="10"/>
    </row>
    <row r="36" spans="1:12" ht="24" customHeight="1" hidden="1">
      <c r="A36" s="94">
        <v>3</v>
      </c>
      <c r="B36" s="95" t="s">
        <v>97</v>
      </c>
      <c r="C36" s="12">
        <v>500</v>
      </c>
      <c r="D36" s="12">
        <v>500</v>
      </c>
      <c r="E36" s="9">
        <f t="shared" si="0"/>
        <v>0</v>
      </c>
      <c r="F36" s="89">
        <f t="shared" si="1"/>
        <v>0</v>
      </c>
      <c r="G36" s="12">
        <v>500</v>
      </c>
      <c r="H36" s="155">
        <f t="shared" si="2"/>
        <v>0</v>
      </c>
      <c r="I36" s="12">
        <v>500</v>
      </c>
      <c r="J36" s="12">
        <v>150</v>
      </c>
      <c r="K36" s="188">
        <f t="shared" si="3"/>
        <v>0</v>
      </c>
      <c r="L36" s="10"/>
    </row>
    <row r="37" spans="1:12" ht="35.25" customHeight="1" hidden="1">
      <c r="A37" s="94">
        <v>4</v>
      </c>
      <c r="B37" s="95" t="s">
        <v>98</v>
      </c>
      <c r="C37" s="12">
        <v>200</v>
      </c>
      <c r="D37" s="12">
        <v>200</v>
      </c>
      <c r="E37" s="9">
        <f t="shared" si="0"/>
        <v>0</v>
      </c>
      <c r="F37" s="89">
        <f t="shared" si="1"/>
        <v>0</v>
      </c>
      <c r="G37" s="12">
        <v>200</v>
      </c>
      <c r="H37" s="155">
        <f t="shared" si="2"/>
        <v>0</v>
      </c>
      <c r="I37" s="12">
        <v>200</v>
      </c>
      <c r="J37" s="12">
        <v>200</v>
      </c>
      <c r="K37" s="188">
        <f t="shared" si="3"/>
        <v>0</v>
      </c>
      <c r="L37" s="10"/>
    </row>
    <row r="38" spans="1:12" ht="36.75" customHeight="1" hidden="1">
      <c r="A38" s="105">
        <v>5</v>
      </c>
      <c r="B38" s="95" t="s">
        <v>99</v>
      </c>
      <c r="C38" s="12">
        <v>177</v>
      </c>
      <c r="D38" s="12">
        <v>177</v>
      </c>
      <c r="E38" s="9">
        <f t="shared" si="0"/>
        <v>0</v>
      </c>
      <c r="F38" s="89">
        <f t="shared" si="1"/>
        <v>0</v>
      </c>
      <c r="G38" s="12">
        <v>177</v>
      </c>
      <c r="H38" s="155">
        <f t="shared" si="2"/>
        <v>0</v>
      </c>
      <c r="I38" s="12">
        <v>177</v>
      </c>
      <c r="J38" s="12">
        <v>177</v>
      </c>
      <c r="K38" s="188">
        <f t="shared" si="3"/>
        <v>0</v>
      </c>
      <c r="L38" s="10"/>
    </row>
    <row r="39" spans="1:12" ht="38.25" customHeight="1" hidden="1">
      <c r="A39" s="105">
        <v>6</v>
      </c>
      <c r="B39" s="95" t="s">
        <v>100</v>
      </c>
      <c r="C39" s="12">
        <v>300</v>
      </c>
      <c r="D39" s="12">
        <v>300</v>
      </c>
      <c r="E39" s="9">
        <f t="shared" si="0"/>
        <v>0</v>
      </c>
      <c r="F39" s="89">
        <f t="shared" si="1"/>
        <v>0</v>
      </c>
      <c r="G39" s="12">
        <v>300</v>
      </c>
      <c r="H39" s="155">
        <f t="shared" si="2"/>
        <v>0</v>
      </c>
      <c r="I39" s="12">
        <v>300</v>
      </c>
      <c r="J39" s="12">
        <v>300</v>
      </c>
      <c r="K39" s="188">
        <f t="shared" si="3"/>
        <v>0</v>
      </c>
      <c r="L39" s="10"/>
    </row>
    <row r="40" spans="1:12" ht="38.25" customHeight="1" hidden="1">
      <c r="A40" s="105">
        <v>7</v>
      </c>
      <c r="B40" s="95" t="s">
        <v>101</v>
      </c>
      <c r="C40" s="12">
        <v>300</v>
      </c>
      <c r="D40" s="12">
        <v>300</v>
      </c>
      <c r="E40" s="9">
        <f t="shared" si="0"/>
        <v>0</v>
      </c>
      <c r="F40" s="89">
        <f t="shared" si="1"/>
        <v>0</v>
      </c>
      <c r="G40" s="12">
        <v>300</v>
      </c>
      <c r="H40" s="155">
        <f t="shared" si="2"/>
        <v>0</v>
      </c>
      <c r="I40" s="12">
        <v>300</v>
      </c>
      <c r="J40" s="12">
        <v>300</v>
      </c>
      <c r="K40" s="188">
        <f t="shared" si="3"/>
        <v>0</v>
      </c>
      <c r="L40" s="10"/>
    </row>
    <row r="41" spans="1:12" ht="40.5" customHeight="1" hidden="1">
      <c r="A41" s="105">
        <v>8</v>
      </c>
      <c r="B41" s="95" t="s">
        <v>102</v>
      </c>
      <c r="C41" s="12">
        <v>300</v>
      </c>
      <c r="D41" s="12">
        <v>300</v>
      </c>
      <c r="E41" s="9">
        <f t="shared" si="0"/>
        <v>0</v>
      </c>
      <c r="F41" s="89">
        <f t="shared" si="1"/>
        <v>0</v>
      </c>
      <c r="G41" s="12">
        <v>300</v>
      </c>
      <c r="H41" s="155">
        <f t="shared" si="2"/>
        <v>0</v>
      </c>
      <c r="I41" s="12">
        <v>300</v>
      </c>
      <c r="J41" s="12">
        <v>0</v>
      </c>
      <c r="K41" s="188">
        <f t="shared" si="3"/>
        <v>0</v>
      </c>
      <c r="L41" s="10"/>
    </row>
    <row r="42" spans="1:12" ht="39.75" customHeight="1" hidden="1">
      <c r="A42" s="105">
        <v>9</v>
      </c>
      <c r="B42" s="95" t="s">
        <v>103</v>
      </c>
      <c r="C42" s="12">
        <v>280</v>
      </c>
      <c r="D42" s="12">
        <v>280</v>
      </c>
      <c r="E42" s="9">
        <f t="shared" si="0"/>
        <v>0</v>
      </c>
      <c r="F42" s="89">
        <f t="shared" si="1"/>
        <v>0</v>
      </c>
      <c r="G42" s="12">
        <v>280</v>
      </c>
      <c r="H42" s="155">
        <f t="shared" si="2"/>
        <v>0</v>
      </c>
      <c r="I42" s="12">
        <v>280</v>
      </c>
      <c r="J42" s="12">
        <v>280</v>
      </c>
      <c r="K42" s="188">
        <f t="shared" si="3"/>
        <v>0</v>
      </c>
      <c r="L42" s="10"/>
    </row>
    <row r="43" spans="1:12" ht="36" customHeight="1" hidden="1">
      <c r="A43" s="105">
        <v>10</v>
      </c>
      <c r="B43" s="106" t="s">
        <v>104</v>
      </c>
      <c r="C43" s="12">
        <v>300</v>
      </c>
      <c r="D43" s="12">
        <v>300</v>
      </c>
      <c r="E43" s="9">
        <f t="shared" si="0"/>
        <v>0</v>
      </c>
      <c r="F43" s="89">
        <f t="shared" si="1"/>
        <v>0</v>
      </c>
      <c r="G43" s="12">
        <v>300</v>
      </c>
      <c r="H43" s="155">
        <f t="shared" si="2"/>
        <v>0</v>
      </c>
      <c r="I43" s="12">
        <v>300</v>
      </c>
      <c r="J43" s="12">
        <v>300</v>
      </c>
      <c r="K43" s="188">
        <f t="shared" si="3"/>
        <v>0</v>
      </c>
      <c r="L43" s="10"/>
    </row>
    <row r="44" spans="1:12" ht="38.25" customHeight="1" hidden="1">
      <c r="A44" s="105">
        <v>11</v>
      </c>
      <c r="B44" s="95" t="s">
        <v>105</v>
      </c>
      <c r="C44" s="12">
        <v>200</v>
      </c>
      <c r="D44" s="12">
        <v>200</v>
      </c>
      <c r="E44" s="9">
        <f t="shared" si="0"/>
        <v>0</v>
      </c>
      <c r="F44" s="89">
        <f t="shared" si="1"/>
        <v>0</v>
      </c>
      <c r="G44" s="12">
        <v>200</v>
      </c>
      <c r="H44" s="155">
        <f t="shared" si="2"/>
        <v>0</v>
      </c>
      <c r="I44" s="12">
        <v>200</v>
      </c>
      <c r="J44" s="12">
        <v>200</v>
      </c>
      <c r="K44" s="188">
        <f t="shared" si="3"/>
        <v>0</v>
      </c>
      <c r="L44" s="10"/>
    </row>
    <row r="45" spans="1:12" ht="36.75" customHeight="1" hidden="1">
      <c r="A45" s="105">
        <v>12</v>
      </c>
      <c r="B45" s="95" t="s">
        <v>106</v>
      </c>
      <c r="C45" s="12">
        <v>300</v>
      </c>
      <c r="D45" s="12">
        <v>300</v>
      </c>
      <c r="E45" s="9">
        <f t="shared" si="0"/>
        <v>0</v>
      </c>
      <c r="F45" s="89">
        <f t="shared" si="1"/>
        <v>0</v>
      </c>
      <c r="G45" s="12">
        <v>300</v>
      </c>
      <c r="H45" s="155">
        <f t="shared" si="2"/>
        <v>0</v>
      </c>
      <c r="I45" s="12">
        <v>300</v>
      </c>
      <c r="J45" s="12">
        <v>300</v>
      </c>
      <c r="K45" s="188">
        <f t="shared" si="3"/>
        <v>0</v>
      </c>
      <c r="L45" s="10"/>
    </row>
    <row r="46" spans="1:12" ht="36" customHeight="1" hidden="1">
      <c r="A46" s="105">
        <v>13</v>
      </c>
      <c r="B46" s="95" t="s">
        <v>107</v>
      </c>
      <c r="C46" s="12">
        <v>400</v>
      </c>
      <c r="D46" s="12">
        <v>219.5</v>
      </c>
      <c r="E46" s="9">
        <f t="shared" si="0"/>
        <v>180.5</v>
      </c>
      <c r="F46" s="89">
        <f t="shared" si="1"/>
        <v>45.12500000000001</v>
      </c>
      <c r="G46" s="12">
        <v>219.5</v>
      </c>
      <c r="H46" s="155">
        <f t="shared" si="2"/>
        <v>0</v>
      </c>
      <c r="I46" s="12">
        <v>219.5</v>
      </c>
      <c r="J46" s="12">
        <v>0</v>
      </c>
      <c r="K46" s="188">
        <f t="shared" si="3"/>
        <v>0</v>
      </c>
      <c r="L46" s="10"/>
    </row>
    <row r="47" spans="1:12" ht="22.5" customHeight="1" hidden="1">
      <c r="A47" s="105">
        <v>14</v>
      </c>
      <c r="B47" s="95" t="s">
        <v>108</v>
      </c>
      <c r="C47" s="12">
        <v>200</v>
      </c>
      <c r="D47" s="12">
        <v>200</v>
      </c>
      <c r="E47" s="9">
        <f t="shared" si="0"/>
        <v>0</v>
      </c>
      <c r="F47" s="89">
        <f t="shared" si="1"/>
        <v>0</v>
      </c>
      <c r="G47" s="12">
        <v>200</v>
      </c>
      <c r="H47" s="155">
        <f t="shared" si="2"/>
        <v>0</v>
      </c>
      <c r="I47" s="12">
        <v>200</v>
      </c>
      <c r="J47" s="12">
        <v>200</v>
      </c>
      <c r="K47" s="188">
        <f t="shared" si="3"/>
        <v>0</v>
      </c>
      <c r="L47" s="10"/>
    </row>
    <row r="48" spans="1:12" ht="18" hidden="1">
      <c r="A48" s="105">
        <v>15</v>
      </c>
      <c r="B48" s="95" t="s">
        <v>109</v>
      </c>
      <c r="C48" s="12">
        <v>200</v>
      </c>
      <c r="D48" s="12">
        <v>200</v>
      </c>
      <c r="E48" s="9">
        <f t="shared" si="0"/>
        <v>0</v>
      </c>
      <c r="F48" s="89">
        <f t="shared" si="1"/>
        <v>0</v>
      </c>
      <c r="G48" s="12">
        <v>200</v>
      </c>
      <c r="H48" s="155">
        <f t="shared" si="2"/>
        <v>0</v>
      </c>
      <c r="I48" s="12">
        <v>200</v>
      </c>
      <c r="J48" s="12">
        <v>0</v>
      </c>
      <c r="K48" s="188">
        <f t="shared" si="3"/>
        <v>0</v>
      </c>
      <c r="L48" s="10"/>
    </row>
    <row r="49" spans="1:12" ht="20.25" customHeight="1" hidden="1">
      <c r="A49" s="105">
        <v>16</v>
      </c>
      <c r="B49" s="95" t="s">
        <v>110</v>
      </c>
      <c r="C49" s="12">
        <v>200</v>
      </c>
      <c r="D49" s="12">
        <v>200</v>
      </c>
      <c r="E49" s="9">
        <f t="shared" si="0"/>
        <v>0</v>
      </c>
      <c r="F49" s="89">
        <f t="shared" si="1"/>
        <v>0</v>
      </c>
      <c r="G49" s="12">
        <v>200</v>
      </c>
      <c r="H49" s="155">
        <f t="shared" si="2"/>
        <v>0</v>
      </c>
      <c r="I49" s="12">
        <v>200</v>
      </c>
      <c r="J49" s="12">
        <v>200</v>
      </c>
      <c r="K49" s="188">
        <f t="shared" si="3"/>
        <v>0</v>
      </c>
      <c r="L49" s="10"/>
    </row>
    <row r="50" spans="1:12" ht="21" customHeight="1" hidden="1">
      <c r="A50" s="105">
        <v>17</v>
      </c>
      <c r="B50" s="107" t="s">
        <v>111</v>
      </c>
      <c r="C50" s="9">
        <v>200</v>
      </c>
      <c r="D50" s="9">
        <v>200</v>
      </c>
      <c r="E50" s="9">
        <f t="shared" si="0"/>
        <v>0</v>
      </c>
      <c r="F50" s="89">
        <f t="shared" si="1"/>
        <v>0</v>
      </c>
      <c r="G50" s="9">
        <v>200</v>
      </c>
      <c r="H50" s="155">
        <f t="shared" si="2"/>
        <v>0</v>
      </c>
      <c r="I50" s="9">
        <v>200</v>
      </c>
      <c r="J50" s="9">
        <v>200</v>
      </c>
      <c r="K50" s="188">
        <f t="shared" si="3"/>
        <v>0</v>
      </c>
      <c r="L50" s="10"/>
    </row>
    <row r="51" spans="1:12" ht="33" customHeight="1" hidden="1">
      <c r="A51" s="105">
        <v>18</v>
      </c>
      <c r="B51" s="108" t="s">
        <v>416</v>
      </c>
      <c r="C51" s="9">
        <v>52.7</v>
      </c>
      <c r="D51" s="9">
        <v>52.7</v>
      </c>
      <c r="E51" s="9">
        <f t="shared" si="0"/>
        <v>0</v>
      </c>
      <c r="F51" s="89">
        <f t="shared" si="1"/>
        <v>0</v>
      </c>
      <c r="G51" s="9">
        <v>52.7</v>
      </c>
      <c r="H51" s="155">
        <f t="shared" si="2"/>
        <v>0</v>
      </c>
      <c r="I51" s="9">
        <v>52.7</v>
      </c>
      <c r="J51" s="9">
        <v>48.1</v>
      </c>
      <c r="K51" s="188">
        <f t="shared" si="3"/>
        <v>0</v>
      </c>
      <c r="L51" s="10"/>
    </row>
    <row r="52" spans="1:12" ht="21" customHeight="1">
      <c r="A52" s="355" t="s">
        <v>6</v>
      </c>
      <c r="B52" s="356"/>
      <c r="C52" s="73">
        <v>4173.2</v>
      </c>
      <c r="D52" s="73">
        <f>SUM(D53:D59)</f>
        <v>4006.3</v>
      </c>
      <c r="E52" s="73">
        <f t="shared" si="0"/>
        <v>166.89999999999964</v>
      </c>
      <c r="F52" s="73">
        <f t="shared" si="1"/>
        <v>3.9993290520463916</v>
      </c>
      <c r="G52" s="73">
        <f>SUM(G53:G59)</f>
        <v>4173.2</v>
      </c>
      <c r="H52" s="73">
        <f t="shared" si="2"/>
        <v>166.89999999999964</v>
      </c>
      <c r="I52" s="73">
        <f>SUM(I53:I59)</f>
        <v>3602</v>
      </c>
      <c r="J52" s="73">
        <f>SUM(J53:J59)</f>
        <v>3602</v>
      </c>
      <c r="K52" s="188">
        <f t="shared" si="3"/>
        <v>404.3000000000002</v>
      </c>
      <c r="L52" s="77"/>
    </row>
    <row r="53" spans="1:12" ht="49.5" customHeight="1">
      <c r="A53" s="94">
        <v>1</v>
      </c>
      <c r="B53" s="109" t="s">
        <v>112</v>
      </c>
      <c r="C53" s="12">
        <v>779.6</v>
      </c>
      <c r="D53" s="12">
        <v>779.6</v>
      </c>
      <c r="E53" s="9">
        <f t="shared" si="0"/>
        <v>0</v>
      </c>
      <c r="F53" s="89">
        <f t="shared" si="1"/>
        <v>0</v>
      </c>
      <c r="G53" s="12">
        <v>779.6</v>
      </c>
      <c r="H53" s="155">
        <f t="shared" si="2"/>
        <v>0</v>
      </c>
      <c r="I53" s="12">
        <v>779.6</v>
      </c>
      <c r="J53" s="12">
        <v>779.6</v>
      </c>
      <c r="K53" s="188">
        <f t="shared" si="3"/>
        <v>0</v>
      </c>
      <c r="L53" s="10"/>
    </row>
    <row r="54" spans="1:12" ht="36" customHeight="1">
      <c r="A54" s="94">
        <v>2</v>
      </c>
      <c r="B54" s="109" t="s">
        <v>113</v>
      </c>
      <c r="C54" s="12">
        <v>1011.8</v>
      </c>
      <c r="D54" s="12">
        <v>1011.8</v>
      </c>
      <c r="E54" s="9">
        <f t="shared" si="0"/>
        <v>0</v>
      </c>
      <c r="F54" s="89">
        <f t="shared" si="1"/>
        <v>0</v>
      </c>
      <c r="G54" s="12">
        <v>1011.8</v>
      </c>
      <c r="H54" s="155">
        <f t="shared" si="2"/>
        <v>0</v>
      </c>
      <c r="I54" s="12">
        <v>1011.8</v>
      </c>
      <c r="J54" s="12">
        <v>1011.8</v>
      </c>
      <c r="K54" s="188">
        <f t="shared" si="3"/>
        <v>0</v>
      </c>
      <c r="L54" s="10"/>
    </row>
    <row r="55" spans="1:12" ht="47.25" customHeight="1">
      <c r="A55" s="94">
        <v>3</v>
      </c>
      <c r="B55" s="109" t="s">
        <v>115</v>
      </c>
      <c r="C55" s="12">
        <v>250</v>
      </c>
      <c r="D55" s="12">
        <v>250</v>
      </c>
      <c r="E55" s="9">
        <f t="shared" si="0"/>
        <v>0</v>
      </c>
      <c r="F55" s="89">
        <f t="shared" si="1"/>
        <v>0</v>
      </c>
      <c r="G55" s="12">
        <v>250</v>
      </c>
      <c r="H55" s="155">
        <f t="shared" si="2"/>
        <v>0</v>
      </c>
      <c r="I55" s="12">
        <v>250</v>
      </c>
      <c r="J55" s="12">
        <v>250</v>
      </c>
      <c r="K55" s="188">
        <f t="shared" si="3"/>
        <v>0</v>
      </c>
      <c r="L55" s="10"/>
    </row>
    <row r="56" spans="1:12" ht="33" customHeight="1">
      <c r="A56" s="94">
        <v>4</v>
      </c>
      <c r="B56" s="110" t="s">
        <v>114</v>
      </c>
      <c r="C56" s="35">
        <v>1560.6</v>
      </c>
      <c r="D56" s="35">
        <v>1560.6</v>
      </c>
      <c r="E56" s="9">
        <f t="shared" si="0"/>
        <v>0</v>
      </c>
      <c r="F56" s="89">
        <f t="shared" si="1"/>
        <v>0</v>
      </c>
      <c r="G56" s="35">
        <v>1560.6</v>
      </c>
      <c r="H56" s="155">
        <f t="shared" si="2"/>
        <v>0</v>
      </c>
      <c r="I56" s="35">
        <v>1560.6</v>
      </c>
      <c r="J56" s="35">
        <v>1560.6</v>
      </c>
      <c r="K56" s="188">
        <f t="shared" si="3"/>
        <v>0</v>
      </c>
      <c r="L56" s="10"/>
    </row>
    <row r="57" spans="1:12" ht="34.5" customHeight="1">
      <c r="A57" s="94">
        <v>5</v>
      </c>
      <c r="B57" s="111" t="s">
        <v>490</v>
      </c>
      <c r="C57" s="13">
        <v>398</v>
      </c>
      <c r="D57" s="13">
        <v>398</v>
      </c>
      <c r="E57" s="9">
        <f t="shared" si="0"/>
        <v>0</v>
      </c>
      <c r="F57" s="89">
        <f t="shared" si="1"/>
        <v>0</v>
      </c>
      <c r="G57" s="13">
        <v>398</v>
      </c>
      <c r="H57" s="155">
        <f t="shared" si="2"/>
        <v>0</v>
      </c>
      <c r="I57" s="13">
        <v>0</v>
      </c>
      <c r="J57" s="13">
        <v>0</v>
      </c>
      <c r="K57" s="188">
        <f t="shared" si="3"/>
        <v>398</v>
      </c>
      <c r="L57" s="10"/>
    </row>
    <row r="58" spans="1:12" ht="48.75" customHeight="1">
      <c r="A58" s="94">
        <v>6</v>
      </c>
      <c r="B58" s="111" t="s">
        <v>491</v>
      </c>
      <c r="C58" s="13">
        <v>133.5</v>
      </c>
      <c r="D58" s="13">
        <v>6.3</v>
      </c>
      <c r="E58" s="9">
        <f t="shared" si="0"/>
        <v>127.2</v>
      </c>
      <c r="F58" s="89">
        <f t="shared" si="1"/>
        <v>95.28089887640449</v>
      </c>
      <c r="G58" s="13">
        <v>133.5</v>
      </c>
      <c r="H58" s="155">
        <f t="shared" si="2"/>
        <v>127.2</v>
      </c>
      <c r="I58" s="13">
        <v>0</v>
      </c>
      <c r="J58" s="13">
        <v>0</v>
      </c>
      <c r="K58" s="188">
        <f t="shared" si="3"/>
        <v>6.3</v>
      </c>
      <c r="L58" s="357" t="s">
        <v>556</v>
      </c>
    </row>
    <row r="59" spans="1:12" ht="36.75" customHeight="1">
      <c r="A59" s="94">
        <v>7</v>
      </c>
      <c r="B59" s="111" t="s">
        <v>501</v>
      </c>
      <c r="C59" s="13">
        <v>39.7</v>
      </c>
      <c r="D59" s="13">
        <v>0</v>
      </c>
      <c r="E59" s="9">
        <f t="shared" si="0"/>
        <v>39.7</v>
      </c>
      <c r="F59" s="89">
        <f t="shared" si="1"/>
        <v>100</v>
      </c>
      <c r="G59" s="13">
        <v>39.7</v>
      </c>
      <c r="H59" s="155">
        <f t="shared" si="2"/>
        <v>39.7</v>
      </c>
      <c r="I59" s="13">
        <v>0</v>
      </c>
      <c r="J59" s="13">
        <v>0</v>
      </c>
      <c r="K59" s="188">
        <f t="shared" si="3"/>
        <v>0</v>
      </c>
      <c r="L59" s="358"/>
    </row>
    <row r="60" spans="1:12" ht="23.25" customHeight="1" hidden="1">
      <c r="A60" s="353" t="s">
        <v>7</v>
      </c>
      <c r="B60" s="359"/>
      <c r="C60" s="71">
        <v>2725.9</v>
      </c>
      <c r="D60" s="71">
        <f>SUM(D61:D67)</f>
        <v>2616.9</v>
      </c>
      <c r="E60" s="71">
        <f t="shared" si="0"/>
        <v>109</v>
      </c>
      <c r="F60" s="71">
        <f t="shared" si="1"/>
        <v>3.9986793352654217</v>
      </c>
      <c r="G60" s="71">
        <f>SUM(G61:G67)</f>
        <v>2536.6000000000004</v>
      </c>
      <c r="H60" s="71">
        <f t="shared" si="2"/>
        <v>-80.29999999999973</v>
      </c>
      <c r="I60" s="71">
        <f>SUM(I61:I67)</f>
        <v>1409.9</v>
      </c>
      <c r="J60" s="71">
        <f>SUM(J61:J67)</f>
        <v>40</v>
      </c>
      <c r="K60" s="188">
        <f t="shared" si="3"/>
        <v>1207</v>
      </c>
      <c r="L60" s="72"/>
    </row>
    <row r="61" spans="1:12" ht="33" hidden="1">
      <c r="A61" s="94">
        <v>1</v>
      </c>
      <c r="B61" s="101" t="s">
        <v>116</v>
      </c>
      <c r="C61" s="12">
        <v>596.4</v>
      </c>
      <c r="D61" s="12">
        <v>596.4</v>
      </c>
      <c r="E61" s="9">
        <f t="shared" si="0"/>
        <v>0</v>
      </c>
      <c r="F61" s="89">
        <f t="shared" si="1"/>
        <v>0</v>
      </c>
      <c r="G61" s="12">
        <v>596.4</v>
      </c>
      <c r="H61" s="155">
        <f t="shared" si="2"/>
        <v>0</v>
      </c>
      <c r="I61" s="12">
        <v>0</v>
      </c>
      <c r="J61" s="12">
        <v>0</v>
      </c>
      <c r="K61" s="188">
        <f t="shared" si="3"/>
        <v>596.4</v>
      </c>
      <c r="L61" s="10"/>
    </row>
    <row r="62" spans="1:12" ht="33" hidden="1">
      <c r="A62" s="94">
        <v>2</v>
      </c>
      <c r="B62" s="95" t="s">
        <v>529</v>
      </c>
      <c r="C62" s="12">
        <v>372.3</v>
      </c>
      <c r="D62" s="12">
        <v>372.3</v>
      </c>
      <c r="E62" s="9">
        <f t="shared" si="0"/>
        <v>0</v>
      </c>
      <c r="F62" s="89">
        <f t="shared" si="1"/>
        <v>0</v>
      </c>
      <c r="G62" s="12">
        <v>372.3</v>
      </c>
      <c r="H62" s="155">
        <f t="shared" si="2"/>
        <v>0</v>
      </c>
      <c r="I62" s="12">
        <v>0</v>
      </c>
      <c r="J62" s="12">
        <v>0</v>
      </c>
      <c r="K62" s="188">
        <f t="shared" si="3"/>
        <v>372.3</v>
      </c>
      <c r="L62" s="10"/>
    </row>
    <row r="63" spans="1:12" ht="50.25" hidden="1">
      <c r="A63" s="94">
        <v>3</v>
      </c>
      <c r="B63" s="95" t="s">
        <v>523</v>
      </c>
      <c r="C63" s="12">
        <v>158</v>
      </c>
      <c r="D63" s="12">
        <v>158</v>
      </c>
      <c r="E63" s="9">
        <f t="shared" si="0"/>
        <v>0</v>
      </c>
      <c r="F63" s="89">
        <f t="shared" si="1"/>
        <v>0</v>
      </c>
      <c r="G63" s="12">
        <v>158</v>
      </c>
      <c r="H63" s="155">
        <f t="shared" si="2"/>
        <v>0</v>
      </c>
      <c r="I63" s="12">
        <v>0</v>
      </c>
      <c r="J63" s="12">
        <v>0</v>
      </c>
      <c r="K63" s="188">
        <f t="shared" si="3"/>
        <v>158</v>
      </c>
      <c r="L63" s="91"/>
    </row>
    <row r="64" spans="1:12" ht="53.25" customHeight="1" hidden="1">
      <c r="A64" s="94">
        <v>4</v>
      </c>
      <c r="B64" s="95" t="s">
        <v>117</v>
      </c>
      <c r="C64" s="12">
        <v>1450.2</v>
      </c>
      <c r="D64" s="12">
        <v>1450.2</v>
      </c>
      <c r="E64" s="9">
        <f t="shared" si="0"/>
        <v>0</v>
      </c>
      <c r="F64" s="89">
        <f t="shared" si="1"/>
        <v>0</v>
      </c>
      <c r="G64" s="12">
        <v>1369.9</v>
      </c>
      <c r="H64" s="155">
        <f t="shared" si="2"/>
        <v>-80.29999999999995</v>
      </c>
      <c r="I64" s="12">
        <v>1369.9</v>
      </c>
      <c r="J64" s="12">
        <v>0</v>
      </c>
      <c r="K64" s="188">
        <f t="shared" si="3"/>
        <v>80.29999999999995</v>
      </c>
      <c r="L64" s="10"/>
    </row>
    <row r="65" spans="1:12" ht="52.5" customHeight="1" hidden="1">
      <c r="A65" s="94">
        <v>5</v>
      </c>
      <c r="B65" s="112" t="s">
        <v>118</v>
      </c>
      <c r="C65" s="12">
        <v>40</v>
      </c>
      <c r="D65" s="12">
        <v>40</v>
      </c>
      <c r="E65" s="9">
        <f t="shared" si="0"/>
        <v>0</v>
      </c>
      <c r="F65" s="89">
        <f t="shared" si="1"/>
        <v>0</v>
      </c>
      <c r="G65" s="12">
        <v>40</v>
      </c>
      <c r="H65" s="155">
        <f t="shared" si="2"/>
        <v>0</v>
      </c>
      <c r="I65" s="12">
        <v>40</v>
      </c>
      <c r="J65" s="12">
        <v>40</v>
      </c>
      <c r="K65" s="188">
        <f t="shared" si="3"/>
        <v>0</v>
      </c>
      <c r="L65" s="10"/>
    </row>
    <row r="66" spans="1:12" ht="50.25" hidden="1">
      <c r="A66" s="94">
        <v>6</v>
      </c>
      <c r="B66" s="95" t="s">
        <v>524</v>
      </c>
      <c r="C66" s="12">
        <v>32</v>
      </c>
      <c r="D66" s="12">
        <v>0</v>
      </c>
      <c r="E66" s="9">
        <f t="shared" si="0"/>
        <v>32</v>
      </c>
      <c r="F66" s="89">
        <f t="shared" si="1"/>
        <v>100</v>
      </c>
      <c r="G66" s="12">
        <v>0</v>
      </c>
      <c r="H66" s="155">
        <f t="shared" si="2"/>
        <v>0</v>
      </c>
      <c r="I66" s="12">
        <v>0</v>
      </c>
      <c r="J66" s="12">
        <v>0</v>
      </c>
      <c r="K66" s="188">
        <f t="shared" si="3"/>
        <v>0</v>
      </c>
      <c r="L66" s="91"/>
    </row>
    <row r="67" spans="1:12" ht="33" hidden="1">
      <c r="A67" s="94">
        <v>7</v>
      </c>
      <c r="B67" s="95" t="s">
        <v>525</v>
      </c>
      <c r="C67" s="12">
        <v>77</v>
      </c>
      <c r="D67" s="12">
        <v>0</v>
      </c>
      <c r="E67" s="9">
        <f t="shared" si="0"/>
        <v>77</v>
      </c>
      <c r="F67" s="89">
        <f t="shared" si="1"/>
        <v>100</v>
      </c>
      <c r="G67" s="12">
        <v>0</v>
      </c>
      <c r="H67" s="155">
        <f t="shared" si="2"/>
        <v>0</v>
      </c>
      <c r="I67" s="12">
        <v>0</v>
      </c>
      <c r="J67" s="12">
        <v>0</v>
      </c>
      <c r="K67" s="188">
        <f t="shared" si="3"/>
        <v>0</v>
      </c>
      <c r="L67" s="91"/>
    </row>
    <row r="68" spans="1:12" ht="22.5" customHeight="1" hidden="1">
      <c r="A68" s="360" t="s">
        <v>8</v>
      </c>
      <c r="B68" s="361"/>
      <c r="C68" s="73">
        <v>9563.7</v>
      </c>
      <c r="D68" s="73">
        <f>SUM(D69:D74)</f>
        <v>9181.2</v>
      </c>
      <c r="E68" s="73">
        <f t="shared" si="0"/>
        <v>382.5</v>
      </c>
      <c r="F68" s="73">
        <f t="shared" si="1"/>
        <v>3.9994981021989418</v>
      </c>
      <c r="G68" s="73">
        <f>SUM(G69:G74)</f>
        <v>5876.200000000001</v>
      </c>
      <c r="H68" s="73">
        <f t="shared" si="2"/>
        <v>-3305</v>
      </c>
      <c r="I68" s="73">
        <f>SUM(I69:I74)</f>
        <v>3388.8999999999996</v>
      </c>
      <c r="J68" s="73">
        <f>SUM(J69:J74)</f>
        <v>895</v>
      </c>
      <c r="K68" s="188">
        <f t="shared" si="3"/>
        <v>5792.300000000001</v>
      </c>
      <c r="L68" s="77"/>
    </row>
    <row r="69" spans="1:12" ht="83.25" customHeight="1" hidden="1">
      <c r="A69" s="94">
        <v>1</v>
      </c>
      <c r="B69" s="113" t="s">
        <v>70</v>
      </c>
      <c r="C69" s="12">
        <v>1800</v>
      </c>
      <c r="D69" s="12">
        <v>1800</v>
      </c>
      <c r="E69" s="9">
        <f t="shared" si="0"/>
        <v>0</v>
      </c>
      <c r="F69" s="89">
        <f t="shared" si="1"/>
        <v>0</v>
      </c>
      <c r="G69" s="12">
        <v>1800</v>
      </c>
      <c r="H69" s="155">
        <f t="shared" si="2"/>
        <v>0</v>
      </c>
      <c r="I69" s="12">
        <v>1800</v>
      </c>
      <c r="J69" s="12">
        <v>540</v>
      </c>
      <c r="K69" s="188">
        <f t="shared" si="3"/>
        <v>0</v>
      </c>
      <c r="L69" s="157"/>
    </row>
    <row r="70" spans="1:12" ht="149.25" customHeight="1" hidden="1">
      <c r="A70" s="94">
        <v>2</v>
      </c>
      <c r="B70" s="113" t="s">
        <v>71</v>
      </c>
      <c r="C70" s="12">
        <v>159.6</v>
      </c>
      <c r="D70" s="12">
        <v>159.6</v>
      </c>
      <c r="E70" s="9">
        <f t="shared" si="0"/>
        <v>0</v>
      </c>
      <c r="F70" s="89">
        <f t="shared" si="1"/>
        <v>0</v>
      </c>
      <c r="G70" s="12">
        <v>159.6</v>
      </c>
      <c r="H70" s="155">
        <f t="shared" si="2"/>
        <v>0</v>
      </c>
      <c r="I70" s="12">
        <v>0</v>
      </c>
      <c r="J70" s="12">
        <v>0</v>
      </c>
      <c r="K70" s="188">
        <f t="shared" si="3"/>
        <v>159.6</v>
      </c>
      <c r="L70" s="157" t="s">
        <v>551</v>
      </c>
    </row>
    <row r="71" spans="1:12" ht="86.25" customHeight="1" hidden="1">
      <c r="A71" s="94">
        <v>3</v>
      </c>
      <c r="B71" s="113" t="s">
        <v>72</v>
      </c>
      <c r="C71" s="12">
        <v>349.3</v>
      </c>
      <c r="D71" s="12">
        <v>349.3</v>
      </c>
      <c r="E71" s="9">
        <f aca="true" t="shared" si="4" ref="E71:E134">C71-D71</f>
        <v>0</v>
      </c>
      <c r="F71" s="89">
        <f aca="true" t="shared" si="5" ref="F71:F134">100-D71/C71*100</f>
        <v>0</v>
      </c>
      <c r="G71" s="12">
        <v>349.3</v>
      </c>
      <c r="H71" s="155">
        <f aca="true" t="shared" si="6" ref="H71:H134">G71-D71</f>
        <v>0</v>
      </c>
      <c r="I71" s="12">
        <v>331.6</v>
      </c>
      <c r="J71" s="12">
        <v>99.5</v>
      </c>
      <c r="K71" s="188">
        <f t="shared" si="3"/>
        <v>17.69999999999999</v>
      </c>
      <c r="L71" s="157"/>
    </row>
    <row r="72" spans="1:12" ht="80.25" customHeight="1" hidden="1">
      <c r="A72" s="94">
        <v>4</v>
      </c>
      <c r="B72" s="113" t="s">
        <v>73</v>
      </c>
      <c r="C72" s="12">
        <v>255.5</v>
      </c>
      <c r="D72" s="12">
        <v>255.5</v>
      </c>
      <c r="E72" s="9">
        <f t="shared" si="4"/>
        <v>0</v>
      </c>
      <c r="F72" s="89">
        <f t="shared" si="5"/>
        <v>0</v>
      </c>
      <c r="G72" s="12">
        <v>255.5</v>
      </c>
      <c r="H72" s="155">
        <f t="shared" si="6"/>
        <v>0</v>
      </c>
      <c r="I72" s="12">
        <v>255.5</v>
      </c>
      <c r="J72" s="12">
        <v>255.5</v>
      </c>
      <c r="K72" s="188">
        <f aca="true" t="shared" si="7" ref="K72:K135">D72-I72</f>
        <v>0</v>
      </c>
      <c r="L72" s="157"/>
    </row>
    <row r="73" spans="1:12" ht="132" hidden="1">
      <c r="A73" s="94">
        <v>5</v>
      </c>
      <c r="B73" s="113" t="s">
        <v>505</v>
      </c>
      <c r="C73" s="12">
        <v>4884.3</v>
      </c>
      <c r="D73" s="12">
        <v>4501.8</v>
      </c>
      <c r="E73" s="9">
        <f t="shared" si="4"/>
        <v>382.5</v>
      </c>
      <c r="F73" s="89">
        <f t="shared" si="5"/>
        <v>7.831214298875992</v>
      </c>
      <c r="G73" s="12">
        <v>3311.8</v>
      </c>
      <c r="H73" s="155">
        <f t="shared" si="6"/>
        <v>-1190</v>
      </c>
      <c r="I73" s="12">
        <v>1001.8</v>
      </c>
      <c r="J73" s="12">
        <v>0</v>
      </c>
      <c r="K73" s="188">
        <f t="shared" si="7"/>
        <v>3500</v>
      </c>
      <c r="L73" s="157" t="s">
        <v>553</v>
      </c>
    </row>
    <row r="74" spans="1:12" ht="91.5" customHeight="1" hidden="1">
      <c r="A74" s="94">
        <v>6</v>
      </c>
      <c r="B74" s="113" t="s">
        <v>492</v>
      </c>
      <c r="C74" s="12">
        <v>2115</v>
      </c>
      <c r="D74" s="12">
        <v>2115</v>
      </c>
      <c r="E74" s="9">
        <f t="shared" si="4"/>
        <v>0</v>
      </c>
      <c r="F74" s="89">
        <f t="shared" si="5"/>
        <v>0</v>
      </c>
      <c r="G74" s="12">
        <v>0</v>
      </c>
      <c r="H74" s="155">
        <f t="shared" si="6"/>
        <v>-2115</v>
      </c>
      <c r="I74" s="12">
        <v>0</v>
      </c>
      <c r="J74" s="12">
        <v>0</v>
      </c>
      <c r="K74" s="188">
        <f t="shared" si="7"/>
        <v>2115</v>
      </c>
      <c r="L74" s="157" t="s">
        <v>552</v>
      </c>
    </row>
    <row r="75" spans="1:12" ht="27" customHeight="1" hidden="1">
      <c r="A75" s="362" t="s">
        <v>9</v>
      </c>
      <c r="B75" s="363"/>
      <c r="C75" s="73">
        <f>C76+C97+C114+C136+C179+C195</f>
        <v>58271</v>
      </c>
      <c r="D75" s="73">
        <f>D76+D97+D114+D136+D179+D195</f>
        <v>55940.16501</v>
      </c>
      <c r="E75" s="73">
        <f t="shared" si="4"/>
        <v>2330.834990000003</v>
      </c>
      <c r="F75" s="73">
        <f t="shared" si="5"/>
        <v>3.9999914022412497</v>
      </c>
      <c r="G75" s="73">
        <f>G76+G97+G114+G136+G179+G195</f>
        <v>54730.88656</v>
      </c>
      <c r="H75" s="73">
        <f t="shared" si="6"/>
        <v>-1209.278449999998</v>
      </c>
      <c r="I75" s="73">
        <f>I76+I97+I114+I136+I179+I195</f>
        <v>28772.30586</v>
      </c>
      <c r="J75" s="73">
        <f>J76+J97+J114+J136+J179+J195</f>
        <v>24858.9961</v>
      </c>
      <c r="K75" s="188">
        <f t="shared" si="7"/>
        <v>27167.859149999997</v>
      </c>
      <c r="L75" s="77"/>
    </row>
    <row r="76" spans="1:12" ht="23.25" customHeight="1" hidden="1">
      <c r="A76" s="98"/>
      <c r="B76" s="114" t="s">
        <v>10</v>
      </c>
      <c r="C76" s="19">
        <v>9711.9</v>
      </c>
      <c r="D76" s="19">
        <f>SUM(D77:D96)</f>
        <v>9323.412999999999</v>
      </c>
      <c r="E76" s="11">
        <f t="shared" si="4"/>
        <v>388.487000000001</v>
      </c>
      <c r="F76" s="155">
        <f t="shared" si="5"/>
        <v>4.000113263110222</v>
      </c>
      <c r="G76" s="19">
        <f>SUM(G77:G96)</f>
        <v>9198.422999999999</v>
      </c>
      <c r="H76" s="155">
        <f t="shared" si="6"/>
        <v>-124.98999999999978</v>
      </c>
      <c r="I76" s="11">
        <f>SUM(I77:I96)</f>
        <v>6224.793959999999</v>
      </c>
      <c r="J76" s="11">
        <f>SUM(J77:J96)</f>
        <v>5096.876509999999</v>
      </c>
      <c r="K76" s="188">
        <f t="shared" si="7"/>
        <v>3098.6190399999996</v>
      </c>
      <c r="L76" s="8"/>
    </row>
    <row r="77" spans="1:12" ht="63.75" customHeight="1" hidden="1">
      <c r="A77" s="94">
        <v>1</v>
      </c>
      <c r="B77" s="95" t="s">
        <v>272</v>
      </c>
      <c r="C77" s="44">
        <v>300</v>
      </c>
      <c r="D77" s="44">
        <v>249.96</v>
      </c>
      <c r="E77" s="9">
        <f t="shared" si="4"/>
        <v>50.03999999999999</v>
      </c>
      <c r="F77" s="89">
        <f t="shared" si="5"/>
        <v>16.679999999999993</v>
      </c>
      <c r="G77" s="44">
        <v>187.26</v>
      </c>
      <c r="H77" s="155">
        <f t="shared" si="6"/>
        <v>-62.70000000000002</v>
      </c>
      <c r="I77" s="158">
        <v>25.556</v>
      </c>
      <c r="J77" s="160">
        <v>25.556</v>
      </c>
      <c r="K77" s="188">
        <f t="shared" si="7"/>
        <v>224.404</v>
      </c>
      <c r="L77" s="10"/>
    </row>
    <row r="78" spans="1:12" ht="79.5" customHeight="1" hidden="1">
      <c r="A78" s="94">
        <v>2</v>
      </c>
      <c r="B78" s="106" t="s">
        <v>550</v>
      </c>
      <c r="C78" s="44">
        <v>200</v>
      </c>
      <c r="D78" s="44">
        <v>200</v>
      </c>
      <c r="E78" s="9">
        <f t="shared" si="4"/>
        <v>0</v>
      </c>
      <c r="F78" s="89">
        <f t="shared" si="5"/>
        <v>0</v>
      </c>
      <c r="G78" s="44">
        <v>200</v>
      </c>
      <c r="H78" s="155">
        <f t="shared" si="6"/>
        <v>0</v>
      </c>
      <c r="I78" s="158">
        <f>199.493+0.507</f>
        <v>200</v>
      </c>
      <c r="J78" s="160">
        <f>9.474+190.019</f>
        <v>199.493</v>
      </c>
      <c r="K78" s="188">
        <f t="shared" si="7"/>
        <v>0</v>
      </c>
      <c r="L78" s="10"/>
    </row>
    <row r="79" spans="1:12" ht="66.75" hidden="1">
      <c r="A79" s="94">
        <v>3</v>
      </c>
      <c r="B79" s="95" t="s">
        <v>273</v>
      </c>
      <c r="C79" s="44">
        <v>200</v>
      </c>
      <c r="D79" s="44">
        <v>200</v>
      </c>
      <c r="E79" s="9">
        <f t="shared" si="4"/>
        <v>0</v>
      </c>
      <c r="F79" s="89">
        <f t="shared" si="5"/>
        <v>0</v>
      </c>
      <c r="G79" s="44">
        <v>200</v>
      </c>
      <c r="H79" s="155">
        <f t="shared" si="6"/>
        <v>0</v>
      </c>
      <c r="I79" s="158">
        <f>194.237+5.50031+0.26269</f>
        <v>200</v>
      </c>
      <c r="J79" s="160">
        <f>194.237+0.00031+5.5</f>
        <v>199.73731</v>
      </c>
      <c r="K79" s="188">
        <f t="shared" si="7"/>
        <v>0</v>
      </c>
      <c r="L79" s="10"/>
    </row>
    <row r="80" spans="1:12" ht="66.75" hidden="1">
      <c r="A80" s="94">
        <v>4</v>
      </c>
      <c r="B80" s="95" t="s">
        <v>274</v>
      </c>
      <c r="C80" s="44">
        <v>100</v>
      </c>
      <c r="D80" s="44">
        <v>100</v>
      </c>
      <c r="E80" s="9">
        <f t="shared" si="4"/>
        <v>0</v>
      </c>
      <c r="F80" s="89">
        <f t="shared" si="5"/>
        <v>0</v>
      </c>
      <c r="G80" s="44">
        <v>100</v>
      </c>
      <c r="H80" s="155">
        <f t="shared" si="6"/>
        <v>0</v>
      </c>
      <c r="I80" s="158">
        <v>0</v>
      </c>
      <c r="J80" s="160">
        <v>0</v>
      </c>
      <c r="K80" s="188">
        <f t="shared" si="7"/>
        <v>100</v>
      </c>
      <c r="L80" s="10"/>
    </row>
    <row r="81" spans="1:12" ht="74.25" customHeight="1" hidden="1">
      <c r="A81" s="94">
        <v>5</v>
      </c>
      <c r="B81" s="95" t="s">
        <v>506</v>
      </c>
      <c r="C81" s="22">
        <v>123.4</v>
      </c>
      <c r="D81" s="22">
        <v>123.4</v>
      </c>
      <c r="E81" s="9">
        <f t="shared" si="4"/>
        <v>0</v>
      </c>
      <c r="F81" s="89">
        <f t="shared" si="5"/>
        <v>0</v>
      </c>
      <c r="G81" s="22">
        <v>123.4</v>
      </c>
      <c r="H81" s="155">
        <f t="shared" si="6"/>
        <v>0</v>
      </c>
      <c r="I81" s="158">
        <f>9.3+20.59+28.55+41.56</f>
        <v>100</v>
      </c>
      <c r="J81" s="160">
        <f>20.59+9.3+28.55+41.56</f>
        <v>100</v>
      </c>
      <c r="K81" s="188">
        <f t="shared" si="7"/>
        <v>23.400000000000006</v>
      </c>
      <c r="L81" s="10"/>
    </row>
    <row r="82" spans="1:12" ht="65.25" customHeight="1" hidden="1">
      <c r="A82" s="94">
        <v>6</v>
      </c>
      <c r="B82" s="95" t="s">
        <v>275</v>
      </c>
      <c r="C82" s="22">
        <v>300</v>
      </c>
      <c r="D82" s="22">
        <v>300</v>
      </c>
      <c r="E82" s="9">
        <f t="shared" si="4"/>
        <v>0</v>
      </c>
      <c r="F82" s="89">
        <f t="shared" si="5"/>
        <v>0</v>
      </c>
      <c r="G82" s="22">
        <v>300</v>
      </c>
      <c r="H82" s="155">
        <f t="shared" si="6"/>
        <v>0</v>
      </c>
      <c r="I82" s="158">
        <v>300</v>
      </c>
      <c r="J82" s="160">
        <f>1.5+1+297.5</f>
        <v>300</v>
      </c>
      <c r="K82" s="188">
        <f t="shared" si="7"/>
        <v>0</v>
      </c>
      <c r="L82" s="10"/>
    </row>
    <row r="83" spans="1:12" ht="73.5" customHeight="1" hidden="1">
      <c r="A83" s="94">
        <v>7</v>
      </c>
      <c r="B83" s="95" t="s">
        <v>276</v>
      </c>
      <c r="C83" s="22">
        <v>750</v>
      </c>
      <c r="D83" s="22">
        <v>750</v>
      </c>
      <c r="E83" s="9">
        <f t="shared" si="4"/>
        <v>0</v>
      </c>
      <c r="F83" s="89">
        <f t="shared" si="5"/>
        <v>0</v>
      </c>
      <c r="G83" s="22">
        <v>750</v>
      </c>
      <c r="H83" s="155">
        <f t="shared" si="6"/>
        <v>0</v>
      </c>
      <c r="I83" s="158">
        <v>750</v>
      </c>
      <c r="J83" s="160">
        <v>750</v>
      </c>
      <c r="K83" s="188">
        <f t="shared" si="7"/>
        <v>0</v>
      </c>
      <c r="L83" s="10"/>
    </row>
    <row r="84" spans="1:12" ht="68.25" customHeight="1" hidden="1">
      <c r="A84" s="94">
        <v>8</v>
      </c>
      <c r="B84" s="106" t="s">
        <v>277</v>
      </c>
      <c r="C84" s="22">
        <v>500</v>
      </c>
      <c r="D84" s="22">
        <v>500</v>
      </c>
      <c r="E84" s="9">
        <f t="shared" si="4"/>
        <v>0</v>
      </c>
      <c r="F84" s="89">
        <f t="shared" si="5"/>
        <v>0</v>
      </c>
      <c r="G84" s="22">
        <v>500</v>
      </c>
      <c r="H84" s="155">
        <f t="shared" si="6"/>
        <v>0</v>
      </c>
      <c r="I84" s="158">
        <f>12.38681+129.11319+358.5</f>
        <v>500</v>
      </c>
      <c r="J84" s="160">
        <f>358.5+12.38681+129.11319</f>
        <v>500</v>
      </c>
      <c r="K84" s="188">
        <f t="shared" si="7"/>
        <v>0</v>
      </c>
      <c r="L84" s="10"/>
    </row>
    <row r="85" spans="1:12" ht="74.25" customHeight="1" hidden="1">
      <c r="A85" s="94">
        <v>9</v>
      </c>
      <c r="B85" s="95" t="s">
        <v>278</v>
      </c>
      <c r="C85" s="22">
        <v>1250</v>
      </c>
      <c r="D85" s="22">
        <v>1250</v>
      </c>
      <c r="E85" s="9">
        <f t="shared" si="4"/>
        <v>0</v>
      </c>
      <c r="F85" s="89">
        <f t="shared" si="5"/>
        <v>0</v>
      </c>
      <c r="G85" s="22">
        <v>1250</v>
      </c>
      <c r="H85" s="155">
        <f t="shared" si="6"/>
        <v>0</v>
      </c>
      <c r="I85" s="158">
        <v>0</v>
      </c>
      <c r="J85" s="160">
        <v>0</v>
      </c>
      <c r="K85" s="188">
        <f t="shared" si="7"/>
        <v>1250</v>
      </c>
      <c r="L85" s="10"/>
    </row>
    <row r="86" spans="1:12" ht="65.25" customHeight="1" hidden="1">
      <c r="A86" s="94">
        <v>10</v>
      </c>
      <c r="B86" s="95" t="s">
        <v>279</v>
      </c>
      <c r="C86" s="22">
        <v>750</v>
      </c>
      <c r="D86" s="22">
        <v>664.716</v>
      </c>
      <c r="E86" s="9">
        <f t="shared" si="4"/>
        <v>85.28399999999999</v>
      </c>
      <c r="F86" s="89">
        <f t="shared" si="5"/>
        <v>11.371200000000002</v>
      </c>
      <c r="G86" s="22">
        <v>644.5</v>
      </c>
      <c r="H86" s="155">
        <f t="shared" si="6"/>
        <v>-20.216000000000008</v>
      </c>
      <c r="I86" s="158">
        <v>644.525</v>
      </c>
      <c r="J86" s="160">
        <v>0</v>
      </c>
      <c r="K86" s="188">
        <f t="shared" si="7"/>
        <v>20.19100000000003</v>
      </c>
      <c r="L86" s="10"/>
    </row>
    <row r="87" spans="1:12" ht="69.75" customHeight="1" hidden="1">
      <c r="A87" s="94">
        <v>11</v>
      </c>
      <c r="B87" s="95" t="s">
        <v>281</v>
      </c>
      <c r="C87" s="22">
        <v>1500</v>
      </c>
      <c r="D87" s="22">
        <v>1419.2</v>
      </c>
      <c r="E87" s="9">
        <f t="shared" si="4"/>
        <v>80.79999999999995</v>
      </c>
      <c r="F87" s="89">
        <f t="shared" si="5"/>
        <v>5.386666666666656</v>
      </c>
      <c r="G87" s="22">
        <v>1419.2</v>
      </c>
      <c r="H87" s="155">
        <f t="shared" si="6"/>
        <v>0</v>
      </c>
      <c r="I87" s="158">
        <f>257.253+333+44.983+27+138.205+357.538+261.22</f>
        <v>1419.1989999999998</v>
      </c>
      <c r="J87" s="160">
        <f>635.236+138.205+27+357.538+261.22</f>
        <v>1419.199</v>
      </c>
      <c r="K87" s="188">
        <f t="shared" si="7"/>
        <v>0.0010000000002037268</v>
      </c>
      <c r="L87" s="10"/>
    </row>
    <row r="88" spans="1:12" ht="60.75" customHeight="1" hidden="1">
      <c r="A88" s="94">
        <v>12</v>
      </c>
      <c r="B88" s="95" t="s">
        <v>280</v>
      </c>
      <c r="C88" s="22">
        <v>750</v>
      </c>
      <c r="D88" s="22">
        <v>683.4</v>
      </c>
      <c r="E88" s="9">
        <f t="shared" si="4"/>
        <v>66.60000000000002</v>
      </c>
      <c r="F88" s="89">
        <f t="shared" si="5"/>
        <v>8.879999999999995</v>
      </c>
      <c r="G88" s="22">
        <v>683.4</v>
      </c>
      <c r="H88" s="155">
        <f t="shared" si="6"/>
        <v>0</v>
      </c>
      <c r="I88" s="158">
        <f>337.2415+0.03</f>
        <v>337.27149999999995</v>
      </c>
      <c r="J88" s="160">
        <f>337.2415+0.03</f>
        <v>337.27149999999995</v>
      </c>
      <c r="K88" s="188">
        <f t="shared" si="7"/>
        <v>346.12850000000003</v>
      </c>
      <c r="L88" s="10"/>
    </row>
    <row r="89" spans="1:12" ht="23.25" customHeight="1" hidden="1">
      <c r="A89" s="94">
        <v>13</v>
      </c>
      <c r="B89" s="102" t="s">
        <v>282</v>
      </c>
      <c r="C89" s="22">
        <v>500</v>
      </c>
      <c r="D89" s="22">
        <v>499.18</v>
      </c>
      <c r="E89" s="9">
        <f t="shared" si="4"/>
        <v>0.8199999999999932</v>
      </c>
      <c r="F89" s="89">
        <f t="shared" si="5"/>
        <v>0.16400000000000148</v>
      </c>
      <c r="G89" s="22">
        <v>499.18</v>
      </c>
      <c r="H89" s="155">
        <f t="shared" si="6"/>
        <v>0</v>
      </c>
      <c r="I89" s="158">
        <f>4.94238+494.238</f>
        <v>499.18038</v>
      </c>
      <c r="J89" s="160">
        <f>4.94238+494.238</f>
        <v>499.18038</v>
      </c>
      <c r="K89" s="188">
        <f t="shared" si="7"/>
        <v>-0.00038000000000693035</v>
      </c>
      <c r="L89" s="10"/>
    </row>
    <row r="90" spans="1:12" ht="33" customHeight="1" hidden="1">
      <c r="A90" s="94">
        <v>14</v>
      </c>
      <c r="B90" s="102" t="s">
        <v>283</v>
      </c>
      <c r="C90" s="22">
        <v>500</v>
      </c>
      <c r="D90" s="22">
        <v>440.53</v>
      </c>
      <c r="E90" s="9">
        <f t="shared" si="4"/>
        <v>59.47000000000003</v>
      </c>
      <c r="F90" s="89">
        <f t="shared" si="5"/>
        <v>11.894000000000005</v>
      </c>
      <c r="G90" s="22">
        <v>398.456</v>
      </c>
      <c r="H90" s="155">
        <f t="shared" si="6"/>
        <v>-42.073999999999955</v>
      </c>
      <c r="I90" s="158">
        <f>4.94576+393.50592</f>
        <v>398.45168</v>
      </c>
      <c r="J90" s="160">
        <f>4.94576+393.50592</f>
        <v>398.45168</v>
      </c>
      <c r="K90" s="188">
        <f t="shared" si="7"/>
        <v>42.07831999999996</v>
      </c>
      <c r="L90" s="10"/>
    </row>
    <row r="91" spans="1:12" ht="21" customHeight="1" hidden="1">
      <c r="A91" s="94">
        <v>15</v>
      </c>
      <c r="B91" s="106" t="s">
        <v>284</v>
      </c>
      <c r="C91" s="22">
        <v>500</v>
      </c>
      <c r="D91" s="22">
        <v>496.486</v>
      </c>
      <c r="E91" s="9">
        <f t="shared" si="4"/>
        <v>3.51400000000001</v>
      </c>
      <c r="F91" s="89">
        <f t="shared" si="5"/>
        <v>0.7027999999999963</v>
      </c>
      <c r="G91" s="22">
        <v>496.486</v>
      </c>
      <c r="H91" s="155">
        <f t="shared" si="6"/>
        <v>0</v>
      </c>
      <c r="I91" s="158">
        <f>4.94016+482.62276</f>
        <v>487.56292</v>
      </c>
      <c r="J91" s="160">
        <v>4.94016</v>
      </c>
      <c r="K91" s="188">
        <f t="shared" si="7"/>
        <v>8.92307999999997</v>
      </c>
      <c r="L91" s="10"/>
    </row>
    <row r="92" spans="1:12" ht="30.75" customHeight="1" hidden="1">
      <c r="A92" s="94">
        <v>16</v>
      </c>
      <c r="B92" s="102" t="s">
        <v>285</v>
      </c>
      <c r="C92" s="22">
        <v>500</v>
      </c>
      <c r="D92" s="22">
        <v>497.041</v>
      </c>
      <c r="E92" s="9">
        <f t="shared" si="4"/>
        <v>2.959000000000003</v>
      </c>
      <c r="F92" s="89">
        <f t="shared" si="5"/>
        <v>0.5917999999999921</v>
      </c>
      <c r="G92" s="22">
        <v>497.041</v>
      </c>
      <c r="H92" s="155">
        <f t="shared" si="6"/>
        <v>0</v>
      </c>
      <c r="I92" s="158">
        <v>4.94749</v>
      </c>
      <c r="J92" s="160">
        <v>4.94749</v>
      </c>
      <c r="K92" s="188">
        <f t="shared" si="7"/>
        <v>492.09351</v>
      </c>
      <c r="L92" s="10"/>
    </row>
    <row r="93" spans="1:12" ht="35.25" customHeight="1" hidden="1">
      <c r="A93" s="94">
        <v>17</v>
      </c>
      <c r="B93" s="95" t="s">
        <v>489</v>
      </c>
      <c r="C93" s="22">
        <v>100</v>
      </c>
      <c r="D93" s="22">
        <v>96</v>
      </c>
      <c r="E93" s="9">
        <f t="shared" si="4"/>
        <v>4</v>
      </c>
      <c r="F93" s="89">
        <f t="shared" si="5"/>
        <v>4</v>
      </c>
      <c r="G93" s="22">
        <v>96</v>
      </c>
      <c r="H93" s="155">
        <f t="shared" si="6"/>
        <v>0</v>
      </c>
      <c r="I93" s="158">
        <v>0</v>
      </c>
      <c r="J93" s="160">
        <v>0</v>
      </c>
      <c r="K93" s="188">
        <f t="shared" si="7"/>
        <v>96</v>
      </c>
      <c r="L93" s="15"/>
    </row>
    <row r="94" spans="1:12" ht="31.5" customHeight="1" hidden="1">
      <c r="A94" s="94">
        <v>18</v>
      </c>
      <c r="B94" s="102" t="s">
        <v>530</v>
      </c>
      <c r="C94" s="22">
        <v>150</v>
      </c>
      <c r="D94" s="22">
        <v>144</v>
      </c>
      <c r="E94" s="9">
        <f t="shared" si="4"/>
        <v>6</v>
      </c>
      <c r="F94" s="89">
        <f t="shared" si="5"/>
        <v>4</v>
      </c>
      <c r="G94" s="22">
        <v>144</v>
      </c>
      <c r="H94" s="155">
        <f t="shared" si="6"/>
        <v>0</v>
      </c>
      <c r="I94" s="158">
        <v>72</v>
      </c>
      <c r="J94" s="160">
        <v>72</v>
      </c>
      <c r="K94" s="188">
        <f t="shared" si="7"/>
        <v>72</v>
      </c>
      <c r="L94" s="15"/>
    </row>
    <row r="95" spans="1:12" ht="32.25" customHeight="1" hidden="1">
      <c r="A95" s="94">
        <v>19</v>
      </c>
      <c r="B95" s="95" t="s">
        <v>405</v>
      </c>
      <c r="C95" s="22">
        <v>350</v>
      </c>
      <c r="D95" s="22">
        <v>336</v>
      </c>
      <c r="E95" s="9">
        <f t="shared" si="4"/>
        <v>14</v>
      </c>
      <c r="F95" s="89">
        <f t="shared" si="5"/>
        <v>4</v>
      </c>
      <c r="G95" s="22">
        <v>336</v>
      </c>
      <c r="H95" s="155">
        <f t="shared" si="6"/>
        <v>0</v>
      </c>
      <c r="I95" s="158">
        <f>158+128+0.09999</f>
        <v>286.09999</v>
      </c>
      <c r="J95" s="160">
        <f>128+158+0.09999</f>
        <v>286.09999</v>
      </c>
      <c r="K95" s="188">
        <f t="shared" si="7"/>
        <v>49.90001000000001</v>
      </c>
      <c r="L95" s="10"/>
    </row>
    <row r="96" spans="1:12" ht="67.5" customHeight="1" hidden="1">
      <c r="A96" s="94">
        <v>20</v>
      </c>
      <c r="B96" s="95" t="s">
        <v>502</v>
      </c>
      <c r="C96" s="22">
        <v>388.5</v>
      </c>
      <c r="D96" s="22">
        <v>373.5</v>
      </c>
      <c r="E96" s="9">
        <f t="shared" si="4"/>
        <v>15</v>
      </c>
      <c r="F96" s="89">
        <f t="shared" si="5"/>
        <v>3.8610038610038657</v>
      </c>
      <c r="G96" s="22">
        <v>373.5</v>
      </c>
      <c r="H96" s="155">
        <f t="shared" si="6"/>
        <v>0</v>
      </c>
      <c r="I96" s="159">
        <v>0</v>
      </c>
      <c r="J96" s="161">
        <v>0</v>
      </c>
      <c r="K96" s="188">
        <f t="shared" si="7"/>
        <v>373.5</v>
      </c>
      <c r="L96" s="10"/>
    </row>
    <row r="97" spans="1:12" ht="17.25" hidden="1">
      <c r="A97" s="98"/>
      <c r="B97" s="115" t="s">
        <v>11</v>
      </c>
      <c r="C97" s="11">
        <v>9711.8</v>
      </c>
      <c r="D97" s="11">
        <f>SUM(D98:D113)</f>
        <v>9428.37526</v>
      </c>
      <c r="E97" s="11">
        <f t="shared" si="4"/>
        <v>283.42473999999856</v>
      </c>
      <c r="F97" s="155">
        <f t="shared" si="5"/>
        <v>2.9183543730307235</v>
      </c>
      <c r="G97" s="11">
        <f>SUM(G98:G113)</f>
        <v>9428.37526</v>
      </c>
      <c r="H97" s="155">
        <f t="shared" si="6"/>
        <v>0</v>
      </c>
      <c r="I97" s="11">
        <f>SUM(I98:I113)</f>
        <v>5512.5519699999995</v>
      </c>
      <c r="J97" s="11">
        <f>SUM(J98:J113)</f>
        <v>5125.38604</v>
      </c>
      <c r="K97" s="188">
        <f t="shared" si="7"/>
        <v>3915.823290000001</v>
      </c>
      <c r="L97" s="8"/>
    </row>
    <row r="98" spans="1:12" ht="66.75" customHeight="1" hidden="1">
      <c r="A98" s="94">
        <v>1</v>
      </c>
      <c r="B98" s="116" t="s">
        <v>484</v>
      </c>
      <c r="C98" s="17">
        <v>300</v>
      </c>
      <c r="D98" s="169">
        <v>300</v>
      </c>
      <c r="E98" s="9">
        <f t="shared" si="4"/>
        <v>0</v>
      </c>
      <c r="F98" s="89">
        <f t="shared" si="5"/>
        <v>0</v>
      </c>
      <c r="G98" s="169">
        <v>300</v>
      </c>
      <c r="H98" s="155">
        <f t="shared" si="6"/>
        <v>0</v>
      </c>
      <c r="I98" s="171">
        <v>0</v>
      </c>
      <c r="J98" s="171">
        <v>0</v>
      </c>
      <c r="K98" s="188">
        <f t="shared" si="7"/>
        <v>300</v>
      </c>
      <c r="L98" s="10"/>
    </row>
    <row r="99" spans="1:12" ht="22.5" customHeight="1" hidden="1">
      <c r="A99" s="94">
        <v>2</v>
      </c>
      <c r="B99" s="102" t="s">
        <v>286</v>
      </c>
      <c r="C99" s="22">
        <v>200</v>
      </c>
      <c r="D99" s="170">
        <v>159.37149</v>
      </c>
      <c r="E99" s="9">
        <f t="shared" si="4"/>
        <v>40.628510000000006</v>
      </c>
      <c r="F99" s="89">
        <f t="shared" si="5"/>
        <v>20.314255000000003</v>
      </c>
      <c r="G99" s="170">
        <v>159.37149</v>
      </c>
      <c r="H99" s="155">
        <f t="shared" si="6"/>
        <v>0</v>
      </c>
      <c r="I99" s="171">
        <f>1.97977+157.39172</f>
        <v>159.37149</v>
      </c>
      <c r="J99" s="171">
        <f>1.97977+157.39172</f>
        <v>159.37149</v>
      </c>
      <c r="K99" s="188">
        <f t="shared" si="7"/>
        <v>0</v>
      </c>
      <c r="L99" s="10"/>
    </row>
    <row r="100" spans="1:14" ht="69" customHeight="1" hidden="1">
      <c r="A100" s="98">
        <v>3</v>
      </c>
      <c r="B100" s="117" t="s">
        <v>493</v>
      </c>
      <c r="C100" s="47">
        <v>250</v>
      </c>
      <c r="D100" s="170">
        <v>250</v>
      </c>
      <c r="E100" s="9">
        <f t="shared" si="4"/>
        <v>0</v>
      </c>
      <c r="F100" s="89">
        <f t="shared" si="5"/>
        <v>0</v>
      </c>
      <c r="G100" s="170">
        <v>250</v>
      </c>
      <c r="H100" s="155">
        <f t="shared" si="6"/>
        <v>0</v>
      </c>
      <c r="I100" s="171">
        <f>1.7479+1.2901+5.92036+1.04164+240</f>
        <v>250</v>
      </c>
      <c r="J100" s="171">
        <f>1.2901+1.7479+5.92036+1.04164+240</f>
        <v>250</v>
      </c>
      <c r="K100" s="188">
        <f t="shared" si="7"/>
        <v>0</v>
      </c>
      <c r="L100" s="10"/>
      <c r="M100" s="1"/>
      <c r="N100" s="2"/>
    </row>
    <row r="101" spans="1:14" ht="66.75" hidden="1">
      <c r="A101" s="98">
        <v>4</v>
      </c>
      <c r="B101" s="95" t="s">
        <v>287</v>
      </c>
      <c r="C101" s="47">
        <v>400</v>
      </c>
      <c r="D101" s="170">
        <v>400</v>
      </c>
      <c r="E101" s="9">
        <f t="shared" si="4"/>
        <v>0</v>
      </c>
      <c r="F101" s="89">
        <f t="shared" si="5"/>
        <v>0</v>
      </c>
      <c r="G101" s="170">
        <v>400</v>
      </c>
      <c r="H101" s="155">
        <f t="shared" si="6"/>
        <v>0</v>
      </c>
      <c r="I101" s="171">
        <f>383.99999+16.00001</f>
        <v>400</v>
      </c>
      <c r="J101" s="171">
        <f>383.99999+16.00001</f>
        <v>400</v>
      </c>
      <c r="K101" s="188">
        <f t="shared" si="7"/>
        <v>0</v>
      </c>
      <c r="L101" s="10"/>
      <c r="M101" s="1"/>
      <c r="N101" s="2"/>
    </row>
    <row r="102" spans="1:12" ht="66.75" hidden="1">
      <c r="A102" s="94">
        <v>5</v>
      </c>
      <c r="B102" s="95" t="s">
        <v>558</v>
      </c>
      <c r="C102" s="22">
        <v>5500</v>
      </c>
      <c r="D102" s="170">
        <v>5461.26</v>
      </c>
      <c r="E102" s="9">
        <f t="shared" si="4"/>
        <v>38.73999999999978</v>
      </c>
      <c r="F102" s="89">
        <f t="shared" si="5"/>
        <v>0.7043636363636381</v>
      </c>
      <c r="G102" s="170">
        <v>5461.26</v>
      </c>
      <c r="H102" s="155">
        <f t="shared" si="6"/>
        <v>0</v>
      </c>
      <c r="I102" s="171">
        <f>2054.919</f>
        <v>2054.919</v>
      </c>
      <c r="J102" s="171">
        <f>2054.919</f>
        <v>2054.919</v>
      </c>
      <c r="K102" s="188">
        <f t="shared" si="7"/>
        <v>3406.3410000000003</v>
      </c>
      <c r="L102" s="10"/>
    </row>
    <row r="103" spans="1:12" ht="65.25" customHeight="1" hidden="1">
      <c r="A103" s="94">
        <v>6</v>
      </c>
      <c r="B103" s="95" t="s">
        <v>288</v>
      </c>
      <c r="C103" s="22">
        <v>300</v>
      </c>
      <c r="D103" s="170">
        <v>277.3</v>
      </c>
      <c r="E103" s="9">
        <f t="shared" si="4"/>
        <v>22.69999999999999</v>
      </c>
      <c r="F103" s="89">
        <f t="shared" si="5"/>
        <v>7.566666666666663</v>
      </c>
      <c r="G103" s="170">
        <v>277.3</v>
      </c>
      <c r="H103" s="155">
        <f t="shared" si="6"/>
        <v>0</v>
      </c>
      <c r="I103" s="171">
        <v>277.287</v>
      </c>
      <c r="J103" s="171">
        <f>277.287</f>
        <v>277.287</v>
      </c>
      <c r="K103" s="188">
        <f t="shared" si="7"/>
        <v>0.013000000000033651</v>
      </c>
      <c r="L103" s="10"/>
    </row>
    <row r="104" spans="1:12" ht="31.5" customHeight="1" hidden="1">
      <c r="A104" s="94">
        <v>7</v>
      </c>
      <c r="B104" s="95" t="s">
        <v>289</v>
      </c>
      <c r="C104" s="22">
        <v>200</v>
      </c>
      <c r="D104" s="170">
        <v>198.74377</v>
      </c>
      <c r="E104" s="9">
        <f t="shared" si="4"/>
        <v>1.256229999999988</v>
      </c>
      <c r="F104" s="89">
        <f t="shared" si="5"/>
        <v>0.628114999999994</v>
      </c>
      <c r="G104" s="170">
        <v>198.74377</v>
      </c>
      <c r="H104" s="155">
        <f t="shared" si="6"/>
        <v>0</v>
      </c>
      <c r="I104" s="171">
        <f>1.98+187.16348</f>
        <v>189.14347999999998</v>
      </c>
      <c r="J104" s="171">
        <v>1.97755</v>
      </c>
      <c r="K104" s="188">
        <f t="shared" si="7"/>
        <v>9.60029000000003</v>
      </c>
      <c r="L104" s="10"/>
    </row>
    <row r="105" spans="1:12" ht="63.75" customHeight="1" hidden="1">
      <c r="A105" s="94">
        <v>8</v>
      </c>
      <c r="B105" s="95" t="s">
        <v>290</v>
      </c>
      <c r="C105" s="22">
        <v>200</v>
      </c>
      <c r="D105" s="170">
        <v>186.4</v>
      </c>
      <c r="E105" s="9">
        <f t="shared" si="4"/>
        <v>13.599999999999994</v>
      </c>
      <c r="F105" s="89">
        <f t="shared" si="5"/>
        <v>6.799999999999997</v>
      </c>
      <c r="G105" s="170">
        <v>186.4</v>
      </c>
      <c r="H105" s="155">
        <f t="shared" si="6"/>
        <v>0</v>
      </c>
      <c r="I105" s="171">
        <f>186.406</f>
        <v>186.406</v>
      </c>
      <c r="J105" s="171">
        <f>186.406</f>
        <v>186.406</v>
      </c>
      <c r="K105" s="188">
        <f t="shared" si="7"/>
        <v>-0.006000000000000227</v>
      </c>
      <c r="L105" s="10"/>
    </row>
    <row r="106" spans="1:12" ht="69" customHeight="1" hidden="1">
      <c r="A106" s="94">
        <v>9</v>
      </c>
      <c r="B106" s="95" t="s">
        <v>291</v>
      </c>
      <c r="C106" s="22">
        <v>200</v>
      </c>
      <c r="D106" s="170">
        <v>200</v>
      </c>
      <c r="E106" s="9">
        <f t="shared" si="4"/>
        <v>0</v>
      </c>
      <c r="F106" s="89">
        <f t="shared" si="5"/>
        <v>0</v>
      </c>
      <c r="G106" s="170">
        <v>200</v>
      </c>
      <c r="H106" s="155">
        <f t="shared" si="6"/>
        <v>0</v>
      </c>
      <c r="I106" s="171">
        <f>200</f>
        <v>200</v>
      </c>
      <c r="J106" s="171">
        <v>0</v>
      </c>
      <c r="K106" s="188">
        <f t="shared" si="7"/>
        <v>0</v>
      </c>
      <c r="L106" s="10"/>
    </row>
    <row r="107" spans="1:12" ht="64.5" customHeight="1" hidden="1">
      <c r="A107" s="94">
        <v>10</v>
      </c>
      <c r="B107" s="106" t="s">
        <v>292</v>
      </c>
      <c r="C107" s="22">
        <v>200</v>
      </c>
      <c r="D107" s="170">
        <v>200</v>
      </c>
      <c r="E107" s="9">
        <f t="shared" si="4"/>
        <v>0</v>
      </c>
      <c r="F107" s="89">
        <f t="shared" si="5"/>
        <v>0</v>
      </c>
      <c r="G107" s="170">
        <v>200</v>
      </c>
      <c r="H107" s="155">
        <f t="shared" si="6"/>
        <v>0</v>
      </c>
      <c r="I107" s="171">
        <f>150+50</f>
        <v>200</v>
      </c>
      <c r="J107" s="171">
        <f>150+50</f>
        <v>200</v>
      </c>
      <c r="K107" s="188">
        <f t="shared" si="7"/>
        <v>0</v>
      </c>
      <c r="L107" s="10"/>
    </row>
    <row r="108" spans="1:12" ht="73.5" customHeight="1" hidden="1">
      <c r="A108" s="94">
        <v>11</v>
      </c>
      <c r="B108" s="95" t="s">
        <v>507</v>
      </c>
      <c r="C108" s="22">
        <v>250</v>
      </c>
      <c r="D108" s="170">
        <v>250</v>
      </c>
      <c r="E108" s="9">
        <f t="shared" si="4"/>
        <v>0</v>
      </c>
      <c r="F108" s="89">
        <f t="shared" si="5"/>
        <v>0</v>
      </c>
      <c r="G108" s="170">
        <v>250</v>
      </c>
      <c r="H108" s="155">
        <f t="shared" si="6"/>
        <v>0</v>
      </c>
      <c r="I108" s="171">
        <f>5.75+4.25+240</f>
        <v>250</v>
      </c>
      <c r="J108" s="171">
        <f>4.25+5.75+240</f>
        <v>250</v>
      </c>
      <c r="K108" s="188">
        <f t="shared" si="7"/>
        <v>0</v>
      </c>
      <c r="L108" s="10"/>
    </row>
    <row r="109" spans="1:12" ht="69" customHeight="1" hidden="1">
      <c r="A109" s="94">
        <v>12</v>
      </c>
      <c r="B109" s="118" t="s">
        <v>485</v>
      </c>
      <c r="C109" s="22">
        <v>300</v>
      </c>
      <c r="D109" s="170">
        <v>148.3</v>
      </c>
      <c r="E109" s="9">
        <f t="shared" si="4"/>
        <v>151.7</v>
      </c>
      <c r="F109" s="89">
        <f t="shared" si="5"/>
        <v>50.56666666666666</v>
      </c>
      <c r="G109" s="170">
        <v>148.3</v>
      </c>
      <c r="H109" s="155">
        <f t="shared" si="6"/>
        <v>0</v>
      </c>
      <c r="I109" s="171">
        <v>0</v>
      </c>
      <c r="J109" s="171">
        <v>0</v>
      </c>
      <c r="K109" s="188">
        <f t="shared" si="7"/>
        <v>148.3</v>
      </c>
      <c r="L109" s="10"/>
    </row>
    <row r="110" spans="1:12" ht="82.5" customHeight="1" hidden="1">
      <c r="A110" s="94">
        <v>13</v>
      </c>
      <c r="B110" s="95" t="s">
        <v>557</v>
      </c>
      <c r="C110" s="22">
        <v>260</v>
      </c>
      <c r="D110" s="170">
        <v>260</v>
      </c>
      <c r="E110" s="9">
        <f t="shared" si="4"/>
        <v>0</v>
      </c>
      <c r="F110" s="89">
        <f t="shared" si="5"/>
        <v>0</v>
      </c>
      <c r="G110" s="170">
        <v>260</v>
      </c>
      <c r="H110" s="155">
        <f t="shared" si="6"/>
        <v>0</v>
      </c>
      <c r="I110" s="171">
        <f>0.861+207.564</f>
        <v>208.42499999999998</v>
      </c>
      <c r="J110" s="171">
        <f>0.861+207.564</f>
        <v>208.42499999999998</v>
      </c>
      <c r="K110" s="188">
        <f t="shared" si="7"/>
        <v>51.57500000000002</v>
      </c>
      <c r="L110" s="10"/>
    </row>
    <row r="111" spans="1:12" ht="35.25" customHeight="1" hidden="1">
      <c r="A111" s="94">
        <v>14</v>
      </c>
      <c r="B111" s="95" t="s">
        <v>293</v>
      </c>
      <c r="C111" s="22">
        <v>350</v>
      </c>
      <c r="D111" s="170">
        <v>335.2</v>
      </c>
      <c r="E111" s="9">
        <f t="shared" si="4"/>
        <v>14.800000000000011</v>
      </c>
      <c r="F111" s="89">
        <f t="shared" si="5"/>
        <v>4.228571428571442</v>
      </c>
      <c r="G111" s="170">
        <v>335.2</v>
      </c>
      <c r="H111" s="155">
        <f t="shared" si="6"/>
        <v>0</v>
      </c>
      <c r="I111" s="171">
        <f>55+55.2+116+109</f>
        <v>335.2</v>
      </c>
      <c r="J111" s="171">
        <f>55+55.2+116+109</f>
        <v>335.2</v>
      </c>
      <c r="K111" s="188">
        <f t="shared" si="7"/>
        <v>0</v>
      </c>
      <c r="L111" s="10"/>
    </row>
    <row r="112" spans="1:12" ht="72.75" customHeight="1" hidden="1">
      <c r="A112" s="94">
        <v>15</v>
      </c>
      <c r="B112" s="95" t="s">
        <v>294</v>
      </c>
      <c r="C112" s="22">
        <v>300</v>
      </c>
      <c r="D112" s="170">
        <v>300</v>
      </c>
      <c r="E112" s="9">
        <f t="shared" si="4"/>
        <v>0</v>
      </c>
      <c r="F112" s="89">
        <f t="shared" si="5"/>
        <v>0</v>
      </c>
      <c r="G112" s="170">
        <v>300</v>
      </c>
      <c r="H112" s="155">
        <f t="shared" si="6"/>
        <v>0</v>
      </c>
      <c r="I112" s="171">
        <f>2+298</f>
        <v>300</v>
      </c>
      <c r="J112" s="171">
        <f>2+298</f>
        <v>300</v>
      </c>
      <c r="K112" s="188">
        <f t="shared" si="7"/>
        <v>0</v>
      </c>
      <c r="L112" s="10"/>
    </row>
    <row r="113" spans="1:12" ht="66.75" customHeight="1" hidden="1">
      <c r="A113" s="98">
        <v>16</v>
      </c>
      <c r="B113" s="95" t="s">
        <v>486</v>
      </c>
      <c r="C113" s="17">
        <v>501.8</v>
      </c>
      <c r="D113" s="170">
        <v>501.8</v>
      </c>
      <c r="E113" s="9">
        <f t="shared" si="4"/>
        <v>0</v>
      </c>
      <c r="F113" s="89">
        <f t="shared" si="5"/>
        <v>0</v>
      </c>
      <c r="G113" s="170">
        <v>501.8</v>
      </c>
      <c r="H113" s="155">
        <f t="shared" si="6"/>
        <v>0</v>
      </c>
      <c r="I113" s="171">
        <f>117.9+383.9</f>
        <v>501.79999999999995</v>
      </c>
      <c r="J113" s="171">
        <f>117.9+383.9</f>
        <v>501.79999999999995</v>
      </c>
      <c r="K113" s="188">
        <f t="shared" si="7"/>
        <v>0</v>
      </c>
      <c r="L113" s="10"/>
    </row>
    <row r="114" spans="1:12" ht="17.25" hidden="1">
      <c r="A114" s="98"/>
      <c r="B114" s="115" t="s">
        <v>12</v>
      </c>
      <c r="C114" s="11">
        <v>9711.8</v>
      </c>
      <c r="D114" s="11">
        <f>SUM(D115:D135)</f>
        <v>9323.400000000001</v>
      </c>
      <c r="E114" s="11">
        <f t="shared" si="4"/>
        <v>388.3999999999978</v>
      </c>
      <c r="F114" s="155">
        <f t="shared" si="5"/>
        <v>3.9992586338268694</v>
      </c>
      <c r="G114" s="11">
        <f>SUM(G115:G135)</f>
        <v>9203.9</v>
      </c>
      <c r="H114" s="155">
        <f t="shared" si="6"/>
        <v>-119.50000000000182</v>
      </c>
      <c r="I114" s="11">
        <f>SUM(I115:I135)</f>
        <v>6450.660000000001</v>
      </c>
      <c r="J114" s="11">
        <f>SUM(J115:J135)</f>
        <v>5134.817999999999</v>
      </c>
      <c r="K114" s="188">
        <f t="shared" si="7"/>
        <v>2872.7400000000007</v>
      </c>
      <c r="L114" s="8"/>
    </row>
    <row r="115" spans="1:12" ht="66.75" hidden="1">
      <c r="A115" s="94">
        <v>1</v>
      </c>
      <c r="B115" s="95" t="s">
        <v>295</v>
      </c>
      <c r="C115" s="22">
        <v>500</v>
      </c>
      <c r="D115" s="172">
        <v>423.5</v>
      </c>
      <c r="E115" s="9">
        <f t="shared" si="4"/>
        <v>76.5</v>
      </c>
      <c r="F115" s="89">
        <f t="shared" si="5"/>
        <v>15.299999999999997</v>
      </c>
      <c r="G115" s="172">
        <v>418.1</v>
      </c>
      <c r="H115" s="155">
        <f t="shared" si="6"/>
        <v>-5.399999999999977</v>
      </c>
      <c r="I115" s="174">
        <f>110.5+277.5+30.114</f>
        <v>418.114</v>
      </c>
      <c r="J115" s="174">
        <f>110.5+277.5+30.114</f>
        <v>418.114</v>
      </c>
      <c r="K115" s="188">
        <f t="shared" si="7"/>
        <v>5.386000000000024</v>
      </c>
      <c r="L115" s="10"/>
    </row>
    <row r="116" spans="1:12" ht="63" customHeight="1" hidden="1">
      <c r="A116" s="94">
        <v>2</v>
      </c>
      <c r="B116" s="95" t="s">
        <v>298</v>
      </c>
      <c r="C116" s="22">
        <v>1000</v>
      </c>
      <c r="D116" s="170">
        <v>1000</v>
      </c>
      <c r="E116" s="9">
        <f t="shared" si="4"/>
        <v>0</v>
      </c>
      <c r="F116" s="89">
        <f t="shared" si="5"/>
        <v>0</v>
      </c>
      <c r="G116" s="170">
        <v>1000</v>
      </c>
      <c r="H116" s="155">
        <f t="shared" si="6"/>
        <v>0</v>
      </c>
      <c r="I116" s="171">
        <f>240+370+390</f>
        <v>1000</v>
      </c>
      <c r="J116" s="171">
        <f>240+370+390</f>
        <v>1000</v>
      </c>
      <c r="K116" s="188">
        <f t="shared" si="7"/>
        <v>0</v>
      </c>
      <c r="L116" s="10"/>
    </row>
    <row r="117" spans="1:12" ht="69" customHeight="1" hidden="1">
      <c r="A117" s="94">
        <v>3</v>
      </c>
      <c r="B117" s="95" t="s">
        <v>296</v>
      </c>
      <c r="C117" s="22">
        <v>1000</v>
      </c>
      <c r="D117" s="170">
        <v>1000</v>
      </c>
      <c r="E117" s="9">
        <f t="shared" si="4"/>
        <v>0</v>
      </c>
      <c r="F117" s="89">
        <f t="shared" si="5"/>
        <v>0</v>
      </c>
      <c r="G117" s="170">
        <v>1000</v>
      </c>
      <c r="H117" s="155">
        <f t="shared" si="6"/>
        <v>0</v>
      </c>
      <c r="I117" s="171">
        <f>857.5+142.5</f>
        <v>1000</v>
      </c>
      <c r="J117" s="171">
        <f>857.5</f>
        <v>857.5</v>
      </c>
      <c r="K117" s="188">
        <f t="shared" si="7"/>
        <v>0</v>
      </c>
      <c r="L117" s="10"/>
    </row>
    <row r="118" spans="1:12" ht="72" customHeight="1" hidden="1">
      <c r="A118" s="94">
        <v>4</v>
      </c>
      <c r="B118" s="95" t="s">
        <v>299</v>
      </c>
      <c r="C118" s="22">
        <v>500</v>
      </c>
      <c r="D118" s="172">
        <v>500</v>
      </c>
      <c r="E118" s="9">
        <f t="shared" si="4"/>
        <v>0</v>
      </c>
      <c r="F118" s="89">
        <f t="shared" si="5"/>
        <v>0</v>
      </c>
      <c r="G118" s="172">
        <v>500</v>
      </c>
      <c r="H118" s="155">
        <f t="shared" si="6"/>
        <v>0</v>
      </c>
      <c r="I118" s="174">
        <f>99+398.442</f>
        <v>497.442</v>
      </c>
      <c r="J118" s="174">
        <v>99</v>
      </c>
      <c r="K118" s="188">
        <f t="shared" si="7"/>
        <v>2.5579999999999927</v>
      </c>
      <c r="L118" s="10"/>
    </row>
    <row r="119" spans="1:12" ht="66" customHeight="1" hidden="1">
      <c r="A119" s="94">
        <v>5</v>
      </c>
      <c r="B119" s="95" t="s">
        <v>300</v>
      </c>
      <c r="C119" s="22">
        <v>500</v>
      </c>
      <c r="D119" s="170">
        <v>500</v>
      </c>
      <c r="E119" s="9">
        <f t="shared" si="4"/>
        <v>0</v>
      </c>
      <c r="F119" s="89">
        <f t="shared" si="5"/>
        <v>0</v>
      </c>
      <c r="G119" s="170">
        <v>500</v>
      </c>
      <c r="H119" s="155">
        <f t="shared" si="6"/>
        <v>0</v>
      </c>
      <c r="I119" s="171">
        <f>238.834+261.166</f>
        <v>500</v>
      </c>
      <c r="J119" s="171">
        <f>238.834+261.166</f>
        <v>500</v>
      </c>
      <c r="K119" s="188">
        <f t="shared" si="7"/>
        <v>0</v>
      </c>
      <c r="L119" s="10"/>
    </row>
    <row r="120" spans="1:12" ht="51.75" customHeight="1" hidden="1">
      <c r="A120" s="98">
        <v>6</v>
      </c>
      <c r="B120" s="119" t="s">
        <v>297</v>
      </c>
      <c r="C120" s="17">
        <v>200</v>
      </c>
      <c r="D120" s="170">
        <v>79</v>
      </c>
      <c r="E120" s="9">
        <f t="shared" si="4"/>
        <v>121</v>
      </c>
      <c r="F120" s="89">
        <f t="shared" si="5"/>
        <v>60.5</v>
      </c>
      <c r="G120" s="170">
        <v>0</v>
      </c>
      <c r="H120" s="155">
        <f t="shared" si="6"/>
        <v>-79</v>
      </c>
      <c r="I120" s="171">
        <v>0</v>
      </c>
      <c r="J120" s="171">
        <v>0</v>
      </c>
      <c r="K120" s="188">
        <f t="shared" si="7"/>
        <v>79</v>
      </c>
      <c r="L120" s="10"/>
    </row>
    <row r="121" spans="1:12" ht="64.5" customHeight="1" hidden="1">
      <c r="A121" s="98">
        <v>7</v>
      </c>
      <c r="B121" s="119" t="s">
        <v>389</v>
      </c>
      <c r="C121" s="17">
        <v>300</v>
      </c>
      <c r="D121" s="170">
        <v>300</v>
      </c>
      <c r="E121" s="9">
        <f t="shared" si="4"/>
        <v>0</v>
      </c>
      <c r="F121" s="89">
        <f t="shared" si="5"/>
        <v>0</v>
      </c>
      <c r="G121" s="170">
        <v>300</v>
      </c>
      <c r="H121" s="155">
        <f t="shared" si="6"/>
        <v>0</v>
      </c>
      <c r="I121" s="171">
        <f>0.1+299.9</f>
        <v>300</v>
      </c>
      <c r="J121" s="171">
        <v>0.1</v>
      </c>
      <c r="K121" s="188">
        <f t="shared" si="7"/>
        <v>0</v>
      </c>
      <c r="L121" s="10"/>
    </row>
    <row r="122" spans="1:12" ht="60" customHeight="1" hidden="1">
      <c r="A122" s="94">
        <v>8</v>
      </c>
      <c r="B122" s="95" t="s">
        <v>301</v>
      </c>
      <c r="C122" s="22">
        <v>300</v>
      </c>
      <c r="D122" s="170">
        <v>300</v>
      </c>
      <c r="E122" s="9">
        <f t="shared" si="4"/>
        <v>0</v>
      </c>
      <c r="F122" s="89">
        <f t="shared" si="5"/>
        <v>0</v>
      </c>
      <c r="G122" s="170">
        <v>300</v>
      </c>
      <c r="H122" s="155">
        <f t="shared" si="6"/>
        <v>0</v>
      </c>
      <c r="I122" s="171">
        <v>300</v>
      </c>
      <c r="J122" s="171">
        <f>300</f>
        <v>300</v>
      </c>
      <c r="K122" s="188">
        <f t="shared" si="7"/>
        <v>0</v>
      </c>
      <c r="L122" s="10"/>
    </row>
    <row r="123" spans="1:12" ht="78.75" customHeight="1" hidden="1">
      <c r="A123" s="94">
        <v>9</v>
      </c>
      <c r="B123" s="95" t="s">
        <v>559</v>
      </c>
      <c r="C123" s="22">
        <v>370</v>
      </c>
      <c r="D123" s="170">
        <v>369.8</v>
      </c>
      <c r="E123" s="9">
        <f t="shared" si="4"/>
        <v>0.19999999999998863</v>
      </c>
      <c r="F123" s="89">
        <f t="shared" si="5"/>
        <v>0.05405405405404906</v>
      </c>
      <c r="G123" s="170">
        <v>369.8</v>
      </c>
      <c r="H123" s="155">
        <f t="shared" si="6"/>
        <v>0</v>
      </c>
      <c r="I123" s="171">
        <v>0</v>
      </c>
      <c r="J123" s="171">
        <v>0</v>
      </c>
      <c r="K123" s="188">
        <f t="shared" si="7"/>
        <v>369.8</v>
      </c>
      <c r="L123" s="10"/>
    </row>
    <row r="124" spans="1:12" ht="66.75" hidden="1">
      <c r="A124" s="94">
        <v>10</v>
      </c>
      <c r="B124" s="95" t="s">
        <v>302</v>
      </c>
      <c r="C124" s="22">
        <v>300</v>
      </c>
      <c r="D124" s="170">
        <v>300</v>
      </c>
      <c r="E124" s="9">
        <f t="shared" si="4"/>
        <v>0</v>
      </c>
      <c r="F124" s="89">
        <f t="shared" si="5"/>
        <v>0</v>
      </c>
      <c r="G124" s="170">
        <v>300</v>
      </c>
      <c r="H124" s="155">
        <f t="shared" si="6"/>
        <v>0</v>
      </c>
      <c r="I124" s="171">
        <f>300</f>
        <v>300</v>
      </c>
      <c r="J124" s="171">
        <v>0</v>
      </c>
      <c r="K124" s="188">
        <f t="shared" si="7"/>
        <v>0</v>
      </c>
      <c r="L124" s="10"/>
    </row>
    <row r="125" spans="1:12" ht="66.75" hidden="1">
      <c r="A125" s="94">
        <v>11</v>
      </c>
      <c r="B125" s="95" t="s">
        <v>303</v>
      </c>
      <c r="C125" s="22">
        <v>120</v>
      </c>
      <c r="D125" s="170">
        <v>120</v>
      </c>
      <c r="E125" s="9">
        <f t="shared" si="4"/>
        <v>0</v>
      </c>
      <c r="F125" s="89">
        <f t="shared" si="5"/>
        <v>0</v>
      </c>
      <c r="G125" s="170">
        <v>120</v>
      </c>
      <c r="H125" s="155">
        <f t="shared" si="6"/>
        <v>0</v>
      </c>
      <c r="I125" s="171">
        <f>114.222+4.8+0.978</f>
        <v>119.99999999999999</v>
      </c>
      <c r="J125" s="171">
        <f>114.222+4.8+0.978</f>
        <v>119.99999999999999</v>
      </c>
      <c r="K125" s="188">
        <f t="shared" si="7"/>
        <v>0</v>
      </c>
      <c r="L125" s="10"/>
    </row>
    <row r="126" spans="1:12" ht="66.75" hidden="1">
      <c r="A126" s="94">
        <v>12</v>
      </c>
      <c r="B126" s="95" t="s">
        <v>304</v>
      </c>
      <c r="C126" s="22">
        <v>200</v>
      </c>
      <c r="D126" s="170">
        <v>200</v>
      </c>
      <c r="E126" s="9">
        <f t="shared" si="4"/>
        <v>0</v>
      </c>
      <c r="F126" s="89">
        <f t="shared" si="5"/>
        <v>0</v>
      </c>
      <c r="G126" s="170">
        <v>200</v>
      </c>
      <c r="H126" s="155">
        <f t="shared" si="6"/>
        <v>0</v>
      </c>
      <c r="I126" s="171">
        <f>10.189</f>
        <v>10.189</v>
      </c>
      <c r="J126" s="171">
        <v>10.189</v>
      </c>
      <c r="K126" s="188">
        <f t="shared" si="7"/>
        <v>189.811</v>
      </c>
      <c r="L126" s="10"/>
    </row>
    <row r="127" spans="1:12" ht="66.75" hidden="1">
      <c r="A127" s="94">
        <v>13</v>
      </c>
      <c r="B127" s="95" t="s">
        <v>305</v>
      </c>
      <c r="C127" s="22">
        <v>125</v>
      </c>
      <c r="D127" s="170">
        <v>125</v>
      </c>
      <c r="E127" s="9">
        <f t="shared" si="4"/>
        <v>0</v>
      </c>
      <c r="F127" s="89">
        <f t="shared" si="5"/>
        <v>0</v>
      </c>
      <c r="G127" s="170">
        <v>125</v>
      </c>
      <c r="H127" s="155">
        <f t="shared" si="6"/>
        <v>0</v>
      </c>
      <c r="I127" s="171">
        <v>0</v>
      </c>
      <c r="J127" s="171">
        <v>0</v>
      </c>
      <c r="K127" s="188">
        <f t="shared" si="7"/>
        <v>125</v>
      </c>
      <c r="L127" s="10"/>
    </row>
    <row r="128" spans="1:12" ht="66.75" hidden="1">
      <c r="A128" s="94">
        <v>14</v>
      </c>
      <c r="B128" s="95" t="s">
        <v>306</v>
      </c>
      <c r="C128" s="22">
        <v>100</v>
      </c>
      <c r="D128" s="170">
        <v>100</v>
      </c>
      <c r="E128" s="9">
        <f t="shared" si="4"/>
        <v>0</v>
      </c>
      <c r="F128" s="89">
        <f t="shared" si="5"/>
        <v>0</v>
      </c>
      <c r="G128" s="170">
        <v>100</v>
      </c>
      <c r="H128" s="155">
        <f t="shared" si="6"/>
        <v>0</v>
      </c>
      <c r="I128" s="171">
        <f>4</f>
        <v>4</v>
      </c>
      <c r="J128" s="171">
        <f>4</f>
        <v>4</v>
      </c>
      <c r="K128" s="188">
        <f t="shared" si="7"/>
        <v>96</v>
      </c>
      <c r="L128" s="10"/>
    </row>
    <row r="129" spans="1:12" ht="67.5" customHeight="1" hidden="1">
      <c r="A129" s="94">
        <v>15</v>
      </c>
      <c r="B129" s="95" t="s">
        <v>307</v>
      </c>
      <c r="C129" s="22">
        <v>375</v>
      </c>
      <c r="D129" s="170">
        <v>375</v>
      </c>
      <c r="E129" s="9">
        <f t="shared" si="4"/>
        <v>0</v>
      </c>
      <c r="F129" s="89">
        <f t="shared" si="5"/>
        <v>0</v>
      </c>
      <c r="G129" s="170">
        <v>375</v>
      </c>
      <c r="H129" s="155">
        <f t="shared" si="6"/>
        <v>0</v>
      </c>
      <c r="I129" s="171">
        <f>351.818+23.182</f>
        <v>375</v>
      </c>
      <c r="J129" s="171">
        <f>351.818+23.182</f>
        <v>375</v>
      </c>
      <c r="K129" s="188">
        <f t="shared" si="7"/>
        <v>0</v>
      </c>
      <c r="L129" s="10"/>
    </row>
    <row r="130" spans="1:12" ht="51.75" customHeight="1" hidden="1">
      <c r="A130" s="94">
        <v>16</v>
      </c>
      <c r="B130" s="95" t="s">
        <v>308</v>
      </c>
      <c r="C130" s="22">
        <v>171.8</v>
      </c>
      <c r="D130" s="170">
        <v>171.8</v>
      </c>
      <c r="E130" s="9">
        <f t="shared" si="4"/>
        <v>0</v>
      </c>
      <c r="F130" s="89">
        <f t="shared" si="5"/>
        <v>0</v>
      </c>
      <c r="G130" s="170">
        <v>171.8</v>
      </c>
      <c r="H130" s="155">
        <f t="shared" si="6"/>
        <v>0</v>
      </c>
      <c r="I130" s="171">
        <f>9.21+19.605+1.3</f>
        <v>30.115000000000002</v>
      </c>
      <c r="J130" s="171">
        <f>1.3+19.605+9.21</f>
        <v>30.115000000000002</v>
      </c>
      <c r="K130" s="188">
        <f t="shared" si="7"/>
        <v>141.685</v>
      </c>
      <c r="L130" s="10"/>
    </row>
    <row r="131" spans="1:12" ht="68.25" customHeight="1" hidden="1">
      <c r="A131" s="94">
        <v>17</v>
      </c>
      <c r="B131" s="95" t="s">
        <v>487</v>
      </c>
      <c r="C131" s="22">
        <v>1000</v>
      </c>
      <c r="D131" s="170">
        <v>960</v>
      </c>
      <c r="E131" s="9">
        <f t="shared" si="4"/>
        <v>40</v>
      </c>
      <c r="F131" s="89">
        <f t="shared" si="5"/>
        <v>4</v>
      </c>
      <c r="G131" s="170">
        <v>936</v>
      </c>
      <c r="H131" s="155">
        <f t="shared" si="6"/>
        <v>-24</v>
      </c>
      <c r="I131" s="171">
        <v>0</v>
      </c>
      <c r="J131" s="171">
        <v>0</v>
      </c>
      <c r="K131" s="188">
        <f t="shared" si="7"/>
        <v>960</v>
      </c>
      <c r="L131" s="10"/>
    </row>
    <row r="132" spans="1:12" ht="39" customHeight="1" hidden="1">
      <c r="A132" s="94">
        <v>18</v>
      </c>
      <c r="B132" s="95" t="s">
        <v>309</v>
      </c>
      <c r="C132" s="22">
        <v>300</v>
      </c>
      <c r="D132" s="170">
        <v>299.8</v>
      </c>
      <c r="E132" s="9">
        <f t="shared" si="4"/>
        <v>0.19999999999998863</v>
      </c>
      <c r="F132" s="89">
        <f t="shared" si="5"/>
        <v>0.06666666666666288</v>
      </c>
      <c r="G132" s="170">
        <v>299.8</v>
      </c>
      <c r="H132" s="155">
        <f t="shared" si="6"/>
        <v>0</v>
      </c>
      <c r="I132" s="171">
        <v>299.8</v>
      </c>
      <c r="J132" s="171">
        <v>299.8</v>
      </c>
      <c r="K132" s="188">
        <f t="shared" si="7"/>
        <v>0</v>
      </c>
      <c r="L132" s="10"/>
    </row>
    <row r="133" spans="1:12" ht="62.25" customHeight="1" hidden="1">
      <c r="A133" s="94">
        <v>19</v>
      </c>
      <c r="B133" s="95" t="s">
        <v>367</v>
      </c>
      <c r="C133" s="45">
        <v>1000</v>
      </c>
      <c r="D133" s="170">
        <v>903.5</v>
      </c>
      <c r="E133" s="9">
        <f t="shared" si="4"/>
        <v>96.5</v>
      </c>
      <c r="F133" s="89">
        <f t="shared" si="5"/>
        <v>9.650000000000006</v>
      </c>
      <c r="G133" s="170">
        <v>892.4</v>
      </c>
      <c r="H133" s="155">
        <f t="shared" si="6"/>
        <v>-11.100000000000023</v>
      </c>
      <c r="I133" s="171">
        <v>0</v>
      </c>
      <c r="J133" s="171">
        <v>0</v>
      </c>
      <c r="K133" s="188">
        <f t="shared" si="7"/>
        <v>903.5</v>
      </c>
      <c r="L133" s="10"/>
    </row>
    <row r="134" spans="1:12" ht="29.25" customHeight="1" hidden="1">
      <c r="A134" s="94">
        <v>20</v>
      </c>
      <c r="B134" s="95" t="s">
        <v>310</v>
      </c>
      <c r="C134" s="45">
        <v>1000</v>
      </c>
      <c r="D134" s="170">
        <v>946</v>
      </c>
      <c r="E134" s="9">
        <f t="shared" si="4"/>
        <v>54</v>
      </c>
      <c r="F134" s="89">
        <f t="shared" si="5"/>
        <v>5.400000000000006</v>
      </c>
      <c r="G134" s="170">
        <v>946</v>
      </c>
      <c r="H134" s="155">
        <f t="shared" si="6"/>
        <v>0</v>
      </c>
      <c r="I134" s="171">
        <f>889.28382+56.71618</f>
        <v>946</v>
      </c>
      <c r="J134" s="171">
        <f>889.28382+56.71618</f>
        <v>946</v>
      </c>
      <c r="K134" s="188">
        <f t="shared" si="7"/>
        <v>0</v>
      </c>
      <c r="L134" s="10"/>
    </row>
    <row r="135" spans="1:12" ht="37.5" customHeight="1" hidden="1">
      <c r="A135" s="105">
        <v>21</v>
      </c>
      <c r="B135" s="106" t="s">
        <v>311</v>
      </c>
      <c r="C135" s="189">
        <v>350</v>
      </c>
      <c r="D135" s="173">
        <v>350</v>
      </c>
      <c r="E135" s="38">
        <f aca="true" t="shared" si="8" ref="E135:E198">C135-D135</f>
        <v>0</v>
      </c>
      <c r="F135" s="184">
        <f aca="true" t="shared" si="9" ref="F135:F198">100-D135/C135*100</f>
        <v>0</v>
      </c>
      <c r="G135" s="173">
        <v>350</v>
      </c>
      <c r="H135" s="185">
        <f aca="true" t="shared" si="10" ref="H135:H198">G135-D135</f>
        <v>0</v>
      </c>
      <c r="I135" s="175">
        <f>175+175</f>
        <v>350</v>
      </c>
      <c r="J135" s="175">
        <v>175</v>
      </c>
      <c r="K135" s="190">
        <f t="shared" si="7"/>
        <v>0</v>
      </c>
      <c r="L135" s="21"/>
    </row>
    <row r="136" spans="1:12" ht="17.25" hidden="1">
      <c r="A136" s="98"/>
      <c r="B136" s="115" t="s">
        <v>13</v>
      </c>
      <c r="C136" s="11">
        <f>SUM(C137:C178)</f>
        <v>9711.9</v>
      </c>
      <c r="D136" s="11">
        <f>SUM(D137:D178)</f>
        <v>9323.423999999999</v>
      </c>
      <c r="E136" s="11">
        <f t="shared" si="8"/>
        <v>388.47600000000057</v>
      </c>
      <c r="F136" s="155">
        <f t="shared" si="9"/>
        <v>4</v>
      </c>
      <c r="G136" s="11">
        <f>SUM(G137:G178)</f>
        <v>8926.830940000002</v>
      </c>
      <c r="H136" s="155">
        <f t="shared" si="10"/>
        <v>-396.5930599999974</v>
      </c>
      <c r="I136" s="11">
        <f>SUM(I137:I178)</f>
        <v>4910.842860000001</v>
      </c>
      <c r="J136" s="11">
        <f>SUM(J137:J178)</f>
        <v>4195.28148</v>
      </c>
      <c r="K136" s="188">
        <f aca="true" t="shared" si="11" ref="K136:K199">D136-I136</f>
        <v>4412.581139999998</v>
      </c>
      <c r="L136" s="8"/>
    </row>
    <row r="137" spans="1:12" ht="49.5" customHeight="1" hidden="1">
      <c r="A137" s="94">
        <v>1</v>
      </c>
      <c r="B137" s="95" t="s">
        <v>312</v>
      </c>
      <c r="C137" s="23">
        <v>150</v>
      </c>
      <c r="D137" s="172">
        <v>144</v>
      </c>
      <c r="E137" s="9">
        <f t="shared" si="8"/>
        <v>6</v>
      </c>
      <c r="F137" s="89">
        <f t="shared" si="9"/>
        <v>4</v>
      </c>
      <c r="G137" s="172">
        <v>150</v>
      </c>
      <c r="H137" s="155">
        <f t="shared" si="10"/>
        <v>6</v>
      </c>
      <c r="I137" s="174">
        <f>99.02+50.98</f>
        <v>150</v>
      </c>
      <c r="J137" s="174">
        <f>99.02+50.98</f>
        <v>150</v>
      </c>
      <c r="K137" s="188">
        <f t="shared" si="11"/>
        <v>-6</v>
      </c>
      <c r="L137" s="10"/>
    </row>
    <row r="138" spans="1:12" ht="66.75" hidden="1">
      <c r="A138" s="98">
        <v>2</v>
      </c>
      <c r="B138" s="95" t="s">
        <v>313</v>
      </c>
      <c r="C138" s="9">
        <v>150</v>
      </c>
      <c r="D138" s="170">
        <v>144</v>
      </c>
      <c r="E138" s="9">
        <f t="shared" si="8"/>
        <v>6</v>
      </c>
      <c r="F138" s="89">
        <f t="shared" si="9"/>
        <v>4</v>
      </c>
      <c r="G138" s="170">
        <v>93.7</v>
      </c>
      <c r="H138" s="155">
        <f t="shared" si="10"/>
        <v>-50.3</v>
      </c>
      <c r="I138" s="171">
        <f>93.68515</f>
        <v>93.68515</v>
      </c>
      <c r="J138" s="171">
        <v>0</v>
      </c>
      <c r="K138" s="188">
        <f t="shared" si="11"/>
        <v>50.31485000000001</v>
      </c>
      <c r="L138" s="10"/>
    </row>
    <row r="139" spans="1:12" ht="66.75" hidden="1">
      <c r="A139" s="94">
        <v>3</v>
      </c>
      <c r="B139" s="95" t="s">
        <v>314</v>
      </c>
      <c r="C139" s="23">
        <v>150</v>
      </c>
      <c r="D139" s="170">
        <v>144</v>
      </c>
      <c r="E139" s="9">
        <f t="shared" si="8"/>
        <v>6</v>
      </c>
      <c r="F139" s="89">
        <f t="shared" si="9"/>
        <v>4</v>
      </c>
      <c r="G139" s="170">
        <v>150</v>
      </c>
      <c r="H139" s="155">
        <f t="shared" si="10"/>
        <v>6</v>
      </c>
      <c r="I139" s="171">
        <f>6+144</f>
        <v>150</v>
      </c>
      <c r="J139" s="171">
        <f>6+144</f>
        <v>150</v>
      </c>
      <c r="K139" s="188">
        <f t="shared" si="11"/>
        <v>-6</v>
      </c>
      <c r="L139" s="10"/>
    </row>
    <row r="140" spans="1:12" ht="61.5" customHeight="1" hidden="1">
      <c r="A140" s="94">
        <v>4</v>
      </c>
      <c r="B140" s="95" t="s">
        <v>315</v>
      </c>
      <c r="C140" s="23">
        <v>150</v>
      </c>
      <c r="D140" s="170">
        <v>144</v>
      </c>
      <c r="E140" s="9">
        <f t="shared" si="8"/>
        <v>6</v>
      </c>
      <c r="F140" s="89">
        <f t="shared" si="9"/>
        <v>4</v>
      </c>
      <c r="G140" s="170">
        <v>50</v>
      </c>
      <c r="H140" s="155">
        <f t="shared" si="10"/>
        <v>-94</v>
      </c>
      <c r="I140" s="171">
        <f>50</f>
        <v>50</v>
      </c>
      <c r="J140" s="171">
        <f>50</f>
        <v>50</v>
      </c>
      <c r="K140" s="188">
        <f t="shared" si="11"/>
        <v>94</v>
      </c>
      <c r="L140" s="10"/>
    </row>
    <row r="141" spans="1:12" ht="73.5" customHeight="1" hidden="1">
      <c r="A141" s="94">
        <v>5</v>
      </c>
      <c r="B141" s="95" t="s">
        <v>508</v>
      </c>
      <c r="C141" s="12">
        <v>150</v>
      </c>
      <c r="D141" s="172">
        <v>144</v>
      </c>
      <c r="E141" s="9">
        <f t="shared" si="8"/>
        <v>6</v>
      </c>
      <c r="F141" s="89">
        <f t="shared" si="9"/>
        <v>4</v>
      </c>
      <c r="G141" s="172">
        <v>150</v>
      </c>
      <c r="H141" s="155">
        <f t="shared" si="10"/>
        <v>6</v>
      </c>
      <c r="I141" s="171">
        <v>0</v>
      </c>
      <c r="J141" s="171">
        <v>0</v>
      </c>
      <c r="K141" s="188">
        <f t="shared" si="11"/>
        <v>144</v>
      </c>
      <c r="L141" s="10"/>
    </row>
    <row r="142" spans="1:12" ht="66.75" hidden="1">
      <c r="A142" s="94">
        <v>6</v>
      </c>
      <c r="B142" s="95" t="s">
        <v>316</v>
      </c>
      <c r="C142" s="12">
        <v>150</v>
      </c>
      <c r="D142" s="172">
        <v>144</v>
      </c>
      <c r="E142" s="9">
        <f t="shared" si="8"/>
        <v>6</v>
      </c>
      <c r="F142" s="89">
        <f t="shared" si="9"/>
        <v>4</v>
      </c>
      <c r="G142" s="172">
        <v>150</v>
      </c>
      <c r="H142" s="155">
        <f t="shared" si="10"/>
        <v>6</v>
      </c>
      <c r="I142" s="171">
        <f>144+6</f>
        <v>150</v>
      </c>
      <c r="J142" s="171">
        <f>144+6</f>
        <v>150</v>
      </c>
      <c r="K142" s="188">
        <f t="shared" si="11"/>
        <v>-6</v>
      </c>
      <c r="L142" s="10"/>
    </row>
    <row r="143" spans="1:12" ht="65.25" customHeight="1" hidden="1">
      <c r="A143" s="94">
        <v>7</v>
      </c>
      <c r="B143" s="95" t="s">
        <v>317</v>
      </c>
      <c r="C143" s="12">
        <v>150</v>
      </c>
      <c r="D143" s="172">
        <v>144</v>
      </c>
      <c r="E143" s="9">
        <f t="shared" si="8"/>
        <v>6</v>
      </c>
      <c r="F143" s="89">
        <f t="shared" si="9"/>
        <v>4</v>
      </c>
      <c r="G143" s="172">
        <v>150</v>
      </c>
      <c r="H143" s="155">
        <f t="shared" si="10"/>
        <v>6</v>
      </c>
      <c r="I143" s="171">
        <f>59.318</f>
        <v>59.318</v>
      </c>
      <c r="J143" s="171">
        <f>59.318</f>
        <v>59.318</v>
      </c>
      <c r="K143" s="188">
        <f t="shared" si="11"/>
        <v>84.682</v>
      </c>
      <c r="L143" s="10"/>
    </row>
    <row r="144" spans="1:12" ht="66.75" hidden="1">
      <c r="A144" s="94">
        <v>8</v>
      </c>
      <c r="B144" s="95" t="s">
        <v>318</v>
      </c>
      <c r="C144" s="12">
        <v>150</v>
      </c>
      <c r="D144" s="172">
        <v>144</v>
      </c>
      <c r="E144" s="9">
        <f t="shared" si="8"/>
        <v>6</v>
      </c>
      <c r="F144" s="89">
        <f t="shared" si="9"/>
        <v>4</v>
      </c>
      <c r="G144" s="172">
        <v>150</v>
      </c>
      <c r="H144" s="155">
        <f t="shared" si="10"/>
        <v>6</v>
      </c>
      <c r="I144" s="171">
        <v>0</v>
      </c>
      <c r="J144" s="171">
        <v>0</v>
      </c>
      <c r="K144" s="188">
        <f t="shared" si="11"/>
        <v>144</v>
      </c>
      <c r="L144" s="10"/>
    </row>
    <row r="145" spans="1:12" ht="66.75" hidden="1">
      <c r="A145" s="94">
        <v>9</v>
      </c>
      <c r="B145" s="95" t="s">
        <v>319</v>
      </c>
      <c r="C145" s="12">
        <v>150</v>
      </c>
      <c r="D145" s="172">
        <v>144</v>
      </c>
      <c r="E145" s="9">
        <f t="shared" si="8"/>
        <v>6</v>
      </c>
      <c r="F145" s="89">
        <f t="shared" si="9"/>
        <v>4</v>
      </c>
      <c r="G145" s="172">
        <v>150</v>
      </c>
      <c r="H145" s="155">
        <f t="shared" si="10"/>
        <v>6</v>
      </c>
      <c r="I145" s="171">
        <f>1+149</f>
        <v>150</v>
      </c>
      <c r="J145" s="171">
        <f>1+149</f>
        <v>150</v>
      </c>
      <c r="K145" s="188">
        <f t="shared" si="11"/>
        <v>-6</v>
      </c>
      <c r="L145" s="10"/>
    </row>
    <row r="146" spans="1:12" ht="66.75" hidden="1">
      <c r="A146" s="94">
        <v>10</v>
      </c>
      <c r="B146" s="95" t="s">
        <v>320</v>
      </c>
      <c r="C146" s="12">
        <v>150</v>
      </c>
      <c r="D146" s="172">
        <v>144</v>
      </c>
      <c r="E146" s="9">
        <f t="shared" si="8"/>
        <v>6</v>
      </c>
      <c r="F146" s="89">
        <f t="shared" si="9"/>
        <v>4</v>
      </c>
      <c r="G146" s="172">
        <v>150</v>
      </c>
      <c r="H146" s="155">
        <f t="shared" si="10"/>
        <v>6</v>
      </c>
      <c r="I146" s="171">
        <f>6+144</f>
        <v>150</v>
      </c>
      <c r="J146" s="171">
        <f>6+144</f>
        <v>150</v>
      </c>
      <c r="K146" s="188">
        <f t="shared" si="11"/>
        <v>-6</v>
      </c>
      <c r="L146" s="10"/>
    </row>
    <row r="147" spans="1:12" ht="61.5" customHeight="1" hidden="1">
      <c r="A147" s="94">
        <v>11</v>
      </c>
      <c r="B147" s="95" t="s">
        <v>321</v>
      </c>
      <c r="C147" s="12">
        <v>150</v>
      </c>
      <c r="D147" s="172">
        <v>144</v>
      </c>
      <c r="E147" s="9">
        <f t="shared" si="8"/>
        <v>6</v>
      </c>
      <c r="F147" s="89">
        <f t="shared" si="9"/>
        <v>4</v>
      </c>
      <c r="G147" s="172">
        <v>150</v>
      </c>
      <c r="H147" s="155">
        <f t="shared" si="10"/>
        <v>6</v>
      </c>
      <c r="I147" s="171">
        <f>143.90976+6.09024</f>
        <v>150</v>
      </c>
      <c r="J147" s="171">
        <f>6.09024+143.90976</f>
        <v>150</v>
      </c>
      <c r="K147" s="188">
        <f t="shared" si="11"/>
        <v>-6</v>
      </c>
      <c r="L147" s="10"/>
    </row>
    <row r="148" spans="1:12" ht="66.75" hidden="1">
      <c r="A148" s="94">
        <v>12</v>
      </c>
      <c r="B148" s="95" t="s">
        <v>322</v>
      </c>
      <c r="C148" s="12">
        <v>150</v>
      </c>
      <c r="D148" s="172">
        <v>144</v>
      </c>
      <c r="E148" s="9">
        <f t="shared" si="8"/>
        <v>6</v>
      </c>
      <c r="F148" s="89">
        <f t="shared" si="9"/>
        <v>4</v>
      </c>
      <c r="G148" s="172">
        <v>150</v>
      </c>
      <c r="H148" s="155">
        <f t="shared" si="10"/>
        <v>6</v>
      </c>
      <c r="I148" s="171">
        <f>6.877+124.987+18.136</f>
        <v>150</v>
      </c>
      <c r="J148" s="171">
        <f>6.877+124.987</f>
        <v>131.864</v>
      </c>
      <c r="K148" s="188">
        <f t="shared" si="11"/>
        <v>-6</v>
      </c>
      <c r="L148" s="10"/>
    </row>
    <row r="149" spans="1:12" ht="63" customHeight="1" hidden="1">
      <c r="A149" s="94">
        <v>13</v>
      </c>
      <c r="B149" s="95" t="s">
        <v>323</v>
      </c>
      <c r="C149" s="12">
        <v>150</v>
      </c>
      <c r="D149" s="172">
        <v>144</v>
      </c>
      <c r="E149" s="9">
        <f t="shared" si="8"/>
        <v>6</v>
      </c>
      <c r="F149" s="89">
        <f t="shared" si="9"/>
        <v>4</v>
      </c>
      <c r="G149" s="172">
        <v>150</v>
      </c>
      <c r="H149" s="155">
        <f t="shared" si="10"/>
        <v>6</v>
      </c>
      <c r="I149" s="171">
        <f>118.589</f>
        <v>118.589</v>
      </c>
      <c r="J149" s="171">
        <v>0</v>
      </c>
      <c r="K149" s="188">
        <f t="shared" si="11"/>
        <v>25.411</v>
      </c>
      <c r="L149" s="10"/>
    </row>
    <row r="150" spans="1:12" ht="61.5" customHeight="1" hidden="1">
      <c r="A150" s="94">
        <v>14</v>
      </c>
      <c r="B150" s="95" t="s">
        <v>324</v>
      </c>
      <c r="C150" s="12">
        <v>200</v>
      </c>
      <c r="D150" s="170">
        <v>192</v>
      </c>
      <c r="E150" s="9">
        <f t="shared" si="8"/>
        <v>8</v>
      </c>
      <c r="F150" s="89">
        <f t="shared" si="9"/>
        <v>4</v>
      </c>
      <c r="G150" s="170">
        <v>200</v>
      </c>
      <c r="H150" s="155">
        <f t="shared" si="10"/>
        <v>8</v>
      </c>
      <c r="I150" s="171">
        <f>192+8</f>
        <v>200</v>
      </c>
      <c r="J150" s="171">
        <f>192+8</f>
        <v>200</v>
      </c>
      <c r="K150" s="188">
        <f t="shared" si="11"/>
        <v>-8</v>
      </c>
      <c r="L150" s="10"/>
    </row>
    <row r="151" spans="1:12" ht="66.75" hidden="1">
      <c r="A151" s="94">
        <v>15</v>
      </c>
      <c r="B151" s="95" t="s">
        <v>325</v>
      </c>
      <c r="C151" s="12">
        <v>100</v>
      </c>
      <c r="D151" s="170">
        <v>96</v>
      </c>
      <c r="E151" s="9">
        <f t="shared" si="8"/>
        <v>4</v>
      </c>
      <c r="F151" s="89">
        <f t="shared" si="9"/>
        <v>4</v>
      </c>
      <c r="G151" s="170">
        <v>100</v>
      </c>
      <c r="H151" s="155">
        <f t="shared" si="10"/>
        <v>4</v>
      </c>
      <c r="I151" s="171">
        <v>0</v>
      </c>
      <c r="J151" s="171">
        <v>0</v>
      </c>
      <c r="K151" s="188">
        <f t="shared" si="11"/>
        <v>96</v>
      </c>
      <c r="L151" s="10"/>
    </row>
    <row r="152" spans="1:12" ht="66.75" hidden="1">
      <c r="A152" s="94">
        <v>16</v>
      </c>
      <c r="B152" s="95" t="s">
        <v>326</v>
      </c>
      <c r="C152" s="12">
        <v>700</v>
      </c>
      <c r="D152" s="170">
        <v>672</v>
      </c>
      <c r="E152" s="9">
        <f t="shared" si="8"/>
        <v>28</v>
      </c>
      <c r="F152" s="89">
        <f t="shared" si="9"/>
        <v>4</v>
      </c>
      <c r="G152" s="170">
        <v>700</v>
      </c>
      <c r="H152" s="155">
        <f t="shared" si="10"/>
        <v>28</v>
      </c>
      <c r="I152" s="171">
        <v>0</v>
      </c>
      <c r="J152" s="171">
        <v>0</v>
      </c>
      <c r="K152" s="188">
        <f t="shared" si="11"/>
        <v>672</v>
      </c>
      <c r="L152" s="10"/>
    </row>
    <row r="153" spans="1:12" ht="66.75" customHeight="1" hidden="1">
      <c r="A153" s="94">
        <v>17</v>
      </c>
      <c r="B153" s="95" t="s">
        <v>327</v>
      </c>
      <c r="C153" s="12">
        <v>300</v>
      </c>
      <c r="D153" s="170">
        <v>288</v>
      </c>
      <c r="E153" s="9">
        <f t="shared" si="8"/>
        <v>12</v>
      </c>
      <c r="F153" s="89">
        <f t="shared" si="9"/>
        <v>4</v>
      </c>
      <c r="G153" s="170">
        <v>300</v>
      </c>
      <c r="H153" s="155">
        <f t="shared" si="10"/>
        <v>12</v>
      </c>
      <c r="I153" s="171">
        <f>23.322+57.815+218.863</f>
        <v>300</v>
      </c>
      <c r="J153" s="171">
        <f>23.322+218.863+57.815</f>
        <v>300</v>
      </c>
      <c r="K153" s="188">
        <f t="shared" si="11"/>
        <v>-12</v>
      </c>
      <c r="L153" s="10"/>
    </row>
    <row r="154" spans="1:12" ht="65.25" customHeight="1" hidden="1">
      <c r="A154" s="94">
        <v>18</v>
      </c>
      <c r="B154" s="95" t="s">
        <v>328</v>
      </c>
      <c r="C154" s="12">
        <v>300</v>
      </c>
      <c r="D154" s="170">
        <v>288</v>
      </c>
      <c r="E154" s="9">
        <f t="shared" si="8"/>
        <v>12</v>
      </c>
      <c r="F154" s="89">
        <f t="shared" si="9"/>
        <v>4</v>
      </c>
      <c r="G154" s="170">
        <v>300</v>
      </c>
      <c r="H154" s="155">
        <f t="shared" si="10"/>
        <v>12</v>
      </c>
      <c r="I154" s="171">
        <f>147.5</f>
        <v>147.5</v>
      </c>
      <c r="J154" s="171">
        <f>147.5</f>
        <v>147.5</v>
      </c>
      <c r="K154" s="188">
        <f t="shared" si="11"/>
        <v>140.5</v>
      </c>
      <c r="L154" s="10"/>
    </row>
    <row r="155" spans="1:12" ht="69" customHeight="1" hidden="1">
      <c r="A155" s="94">
        <v>19</v>
      </c>
      <c r="B155" s="95" t="s">
        <v>329</v>
      </c>
      <c r="C155" s="12">
        <v>300</v>
      </c>
      <c r="D155" s="170">
        <v>288</v>
      </c>
      <c r="E155" s="9">
        <f t="shared" si="8"/>
        <v>12</v>
      </c>
      <c r="F155" s="89">
        <f t="shared" si="9"/>
        <v>4</v>
      </c>
      <c r="G155" s="170">
        <v>300</v>
      </c>
      <c r="H155" s="155">
        <f t="shared" si="10"/>
        <v>12</v>
      </c>
      <c r="I155" s="171">
        <f>288</f>
        <v>288</v>
      </c>
      <c r="J155" s="171">
        <v>0</v>
      </c>
      <c r="K155" s="188">
        <f t="shared" si="11"/>
        <v>0</v>
      </c>
      <c r="L155" s="10"/>
    </row>
    <row r="156" spans="1:12" ht="84" hidden="1">
      <c r="A156" s="94">
        <v>20</v>
      </c>
      <c r="B156" s="95" t="s">
        <v>330</v>
      </c>
      <c r="C156" s="12">
        <v>300</v>
      </c>
      <c r="D156" s="170">
        <v>288</v>
      </c>
      <c r="E156" s="9">
        <f t="shared" si="8"/>
        <v>12</v>
      </c>
      <c r="F156" s="89">
        <f t="shared" si="9"/>
        <v>4</v>
      </c>
      <c r="G156" s="170">
        <v>262.5</v>
      </c>
      <c r="H156" s="155">
        <f t="shared" si="10"/>
        <v>-25.5</v>
      </c>
      <c r="I156" s="171">
        <v>0</v>
      </c>
      <c r="J156" s="171">
        <v>0</v>
      </c>
      <c r="K156" s="188">
        <f t="shared" si="11"/>
        <v>288</v>
      </c>
      <c r="L156" s="10"/>
    </row>
    <row r="157" spans="1:12" ht="75.75" customHeight="1" hidden="1">
      <c r="A157" s="94">
        <v>21</v>
      </c>
      <c r="B157" s="95" t="s">
        <v>331</v>
      </c>
      <c r="C157" s="12">
        <v>1000</v>
      </c>
      <c r="D157" s="170">
        <v>960</v>
      </c>
      <c r="E157" s="9">
        <f t="shared" si="8"/>
        <v>40</v>
      </c>
      <c r="F157" s="89">
        <f t="shared" si="9"/>
        <v>4</v>
      </c>
      <c r="G157" s="170">
        <v>1000</v>
      </c>
      <c r="H157" s="155">
        <f t="shared" si="10"/>
        <v>40</v>
      </c>
      <c r="I157" s="171">
        <f>174.876</f>
        <v>174.876</v>
      </c>
      <c r="J157" s="171">
        <f>174.876</f>
        <v>174.876</v>
      </c>
      <c r="K157" s="188">
        <f t="shared" si="11"/>
        <v>785.124</v>
      </c>
      <c r="L157" s="10"/>
    </row>
    <row r="158" spans="1:12" ht="62.25" customHeight="1" hidden="1">
      <c r="A158" s="94">
        <v>22</v>
      </c>
      <c r="B158" s="95" t="s">
        <v>560</v>
      </c>
      <c r="C158" s="12">
        <v>500</v>
      </c>
      <c r="D158" s="170">
        <v>480</v>
      </c>
      <c r="E158" s="9">
        <f t="shared" si="8"/>
        <v>20</v>
      </c>
      <c r="F158" s="89">
        <f t="shared" si="9"/>
        <v>4</v>
      </c>
      <c r="G158" s="170">
        <v>500</v>
      </c>
      <c r="H158" s="155">
        <f t="shared" si="10"/>
        <v>20</v>
      </c>
      <c r="I158" s="171">
        <f>194.733+0.198+305.069</f>
        <v>500</v>
      </c>
      <c r="J158" s="171">
        <f>194.733+0.198+305.069</f>
        <v>500</v>
      </c>
      <c r="K158" s="188">
        <f t="shared" si="11"/>
        <v>-20</v>
      </c>
      <c r="L158" s="10"/>
    </row>
    <row r="159" spans="1:12" ht="66.75" hidden="1">
      <c r="A159" s="94">
        <v>23</v>
      </c>
      <c r="B159" s="95" t="s">
        <v>332</v>
      </c>
      <c r="C159" s="12">
        <v>300</v>
      </c>
      <c r="D159" s="170">
        <v>288</v>
      </c>
      <c r="E159" s="9">
        <f t="shared" si="8"/>
        <v>12</v>
      </c>
      <c r="F159" s="89">
        <f t="shared" si="9"/>
        <v>4</v>
      </c>
      <c r="G159" s="170">
        <v>288</v>
      </c>
      <c r="H159" s="155">
        <f t="shared" si="10"/>
        <v>0</v>
      </c>
      <c r="I159" s="171">
        <v>288</v>
      </c>
      <c r="J159" s="171">
        <v>288</v>
      </c>
      <c r="K159" s="188">
        <f t="shared" si="11"/>
        <v>0</v>
      </c>
      <c r="L159" s="10"/>
    </row>
    <row r="160" spans="1:12" ht="67.5" customHeight="1" hidden="1">
      <c r="A160" s="94">
        <v>24</v>
      </c>
      <c r="B160" s="95" t="s">
        <v>333</v>
      </c>
      <c r="C160" s="12">
        <v>300</v>
      </c>
      <c r="D160" s="170">
        <v>288</v>
      </c>
      <c r="E160" s="9">
        <f t="shared" si="8"/>
        <v>12</v>
      </c>
      <c r="F160" s="89">
        <f t="shared" si="9"/>
        <v>4</v>
      </c>
      <c r="G160" s="170">
        <v>283.8</v>
      </c>
      <c r="H160" s="155">
        <f t="shared" si="10"/>
        <v>-4.199999999999989</v>
      </c>
      <c r="I160" s="171">
        <v>0</v>
      </c>
      <c r="J160" s="171">
        <v>0</v>
      </c>
      <c r="K160" s="188">
        <f t="shared" si="11"/>
        <v>288</v>
      </c>
      <c r="L160" s="10"/>
    </row>
    <row r="161" spans="1:12" ht="64.5" customHeight="1" hidden="1">
      <c r="A161" s="94">
        <v>25</v>
      </c>
      <c r="B161" s="95" t="s">
        <v>334</v>
      </c>
      <c r="C161" s="12">
        <v>250</v>
      </c>
      <c r="D161" s="170">
        <v>240</v>
      </c>
      <c r="E161" s="9">
        <f t="shared" si="8"/>
        <v>10</v>
      </c>
      <c r="F161" s="89">
        <f t="shared" si="9"/>
        <v>4</v>
      </c>
      <c r="G161" s="170">
        <v>250</v>
      </c>
      <c r="H161" s="155">
        <f t="shared" si="10"/>
        <v>10</v>
      </c>
      <c r="I161" s="171">
        <v>0</v>
      </c>
      <c r="J161" s="171">
        <v>0</v>
      </c>
      <c r="K161" s="188">
        <f t="shared" si="11"/>
        <v>240</v>
      </c>
      <c r="L161" s="10"/>
    </row>
    <row r="162" spans="1:12" ht="84" hidden="1">
      <c r="A162" s="94">
        <v>26</v>
      </c>
      <c r="B162" s="95" t="s">
        <v>335</v>
      </c>
      <c r="C162" s="12">
        <v>300</v>
      </c>
      <c r="D162" s="170">
        <v>288</v>
      </c>
      <c r="E162" s="9">
        <f t="shared" si="8"/>
        <v>12</v>
      </c>
      <c r="F162" s="89">
        <f t="shared" si="9"/>
        <v>4</v>
      </c>
      <c r="G162" s="170">
        <v>230</v>
      </c>
      <c r="H162" s="155">
        <f t="shared" si="10"/>
        <v>-58</v>
      </c>
      <c r="I162" s="171">
        <f>55.098+139.91</f>
        <v>195.00799999999998</v>
      </c>
      <c r="J162" s="171">
        <v>0</v>
      </c>
      <c r="K162" s="188">
        <f t="shared" si="11"/>
        <v>92.99200000000002</v>
      </c>
      <c r="L162" s="10"/>
    </row>
    <row r="163" spans="1:12" ht="62.25" customHeight="1" hidden="1">
      <c r="A163" s="94">
        <v>27</v>
      </c>
      <c r="B163" s="95" t="s">
        <v>336</v>
      </c>
      <c r="C163" s="12">
        <v>500</v>
      </c>
      <c r="D163" s="170">
        <v>480</v>
      </c>
      <c r="E163" s="9">
        <f t="shared" si="8"/>
        <v>20</v>
      </c>
      <c r="F163" s="89">
        <f t="shared" si="9"/>
        <v>4</v>
      </c>
      <c r="G163" s="170">
        <v>480</v>
      </c>
      <c r="H163" s="155">
        <f t="shared" si="10"/>
        <v>0</v>
      </c>
      <c r="I163" s="171">
        <v>0</v>
      </c>
      <c r="J163" s="171">
        <v>0</v>
      </c>
      <c r="K163" s="188">
        <f t="shared" si="11"/>
        <v>480</v>
      </c>
      <c r="L163" s="10"/>
    </row>
    <row r="164" spans="1:12" ht="84" hidden="1">
      <c r="A164" s="94">
        <v>28</v>
      </c>
      <c r="B164" s="95" t="s">
        <v>337</v>
      </c>
      <c r="C164" s="12">
        <v>45</v>
      </c>
      <c r="D164" s="170">
        <v>43.2</v>
      </c>
      <c r="E164" s="9">
        <f t="shared" si="8"/>
        <v>1.7999999999999972</v>
      </c>
      <c r="F164" s="89">
        <f t="shared" si="9"/>
        <v>3.999999999999986</v>
      </c>
      <c r="G164" s="170">
        <v>45</v>
      </c>
      <c r="H164" s="155">
        <f t="shared" si="10"/>
        <v>1.7999999999999972</v>
      </c>
      <c r="I164" s="171">
        <f>42.6+2.4</f>
        <v>45</v>
      </c>
      <c r="J164" s="171">
        <f>42.6+2.4</f>
        <v>45</v>
      </c>
      <c r="K164" s="188">
        <f t="shared" si="11"/>
        <v>-1.7999999999999972</v>
      </c>
      <c r="L164" s="10"/>
    </row>
    <row r="165" spans="1:12" ht="84" hidden="1">
      <c r="A165" s="94">
        <v>29</v>
      </c>
      <c r="B165" s="95" t="s">
        <v>338</v>
      </c>
      <c r="C165" s="12">
        <v>45</v>
      </c>
      <c r="D165" s="170">
        <v>43.2</v>
      </c>
      <c r="E165" s="9">
        <f t="shared" si="8"/>
        <v>1.7999999999999972</v>
      </c>
      <c r="F165" s="89">
        <f t="shared" si="9"/>
        <v>3.999999999999986</v>
      </c>
      <c r="G165" s="170">
        <v>45</v>
      </c>
      <c r="H165" s="155">
        <f t="shared" si="10"/>
        <v>1.7999999999999972</v>
      </c>
      <c r="I165" s="171">
        <v>45</v>
      </c>
      <c r="J165" s="171">
        <v>45</v>
      </c>
      <c r="K165" s="188">
        <f t="shared" si="11"/>
        <v>-1.7999999999999972</v>
      </c>
      <c r="L165" s="10"/>
    </row>
    <row r="166" spans="1:12" ht="66.75" customHeight="1" hidden="1">
      <c r="A166" s="94">
        <v>30</v>
      </c>
      <c r="B166" s="95" t="s">
        <v>339</v>
      </c>
      <c r="C166" s="12">
        <v>45</v>
      </c>
      <c r="D166" s="170">
        <v>43.2</v>
      </c>
      <c r="E166" s="9">
        <f t="shared" si="8"/>
        <v>1.7999999999999972</v>
      </c>
      <c r="F166" s="89">
        <f t="shared" si="9"/>
        <v>3.999999999999986</v>
      </c>
      <c r="G166" s="170">
        <v>45</v>
      </c>
      <c r="H166" s="155">
        <f t="shared" si="10"/>
        <v>1.7999999999999972</v>
      </c>
      <c r="I166" s="171">
        <f>8.753+36.247</f>
        <v>45</v>
      </c>
      <c r="J166" s="171">
        <f>8.753+25+11.247</f>
        <v>45</v>
      </c>
      <c r="K166" s="188">
        <f t="shared" si="11"/>
        <v>-1.7999999999999972</v>
      </c>
      <c r="L166" s="10"/>
    </row>
    <row r="167" spans="1:12" ht="66" customHeight="1" hidden="1">
      <c r="A167" s="94">
        <v>31</v>
      </c>
      <c r="B167" s="95" t="s">
        <v>340</v>
      </c>
      <c r="C167" s="12">
        <v>40</v>
      </c>
      <c r="D167" s="170">
        <v>38.4</v>
      </c>
      <c r="E167" s="9">
        <f t="shared" si="8"/>
        <v>1.6000000000000014</v>
      </c>
      <c r="F167" s="89">
        <f t="shared" si="9"/>
        <v>4</v>
      </c>
      <c r="G167" s="170">
        <v>40</v>
      </c>
      <c r="H167" s="155">
        <f t="shared" si="10"/>
        <v>1.6000000000000014</v>
      </c>
      <c r="I167" s="171">
        <v>40</v>
      </c>
      <c r="J167" s="171">
        <f>40</f>
        <v>40</v>
      </c>
      <c r="K167" s="188">
        <f t="shared" si="11"/>
        <v>-1.6000000000000014</v>
      </c>
      <c r="L167" s="10"/>
    </row>
    <row r="168" spans="1:12" ht="33" hidden="1">
      <c r="A168" s="94">
        <v>32</v>
      </c>
      <c r="B168" s="95" t="s">
        <v>341</v>
      </c>
      <c r="C168" s="12">
        <v>100</v>
      </c>
      <c r="D168" s="170">
        <v>96</v>
      </c>
      <c r="E168" s="9">
        <f t="shared" si="8"/>
        <v>4</v>
      </c>
      <c r="F168" s="89">
        <f t="shared" si="9"/>
        <v>4</v>
      </c>
      <c r="G168" s="170">
        <v>86.1</v>
      </c>
      <c r="H168" s="155">
        <f t="shared" si="10"/>
        <v>-9.900000000000006</v>
      </c>
      <c r="I168" s="171">
        <v>0</v>
      </c>
      <c r="J168" s="171">
        <v>0</v>
      </c>
      <c r="K168" s="188">
        <f t="shared" si="11"/>
        <v>96</v>
      </c>
      <c r="L168" s="10"/>
    </row>
    <row r="169" spans="1:12" ht="33" hidden="1">
      <c r="A169" s="94">
        <v>33</v>
      </c>
      <c r="B169" s="95" t="s">
        <v>342</v>
      </c>
      <c r="C169" s="12">
        <v>150</v>
      </c>
      <c r="D169" s="170">
        <v>144</v>
      </c>
      <c r="E169" s="9">
        <f t="shared" si="8"/>
        <v>6</v>
      </c>
      <c r="F169" s="89">
        <f t="shared" si="9"/>
        <v>4</v>
      </c>
      <c r="G169" s="170">
        <v>119.52318</v>
      </c>
      <c r="H169" s="155">
        <f t="shared" si="10"/>
        <v>-24.476820000000004</v>
      </c>
      <c r="I169" s="171">
        <f>1.485+118.03842</f>
        <v>119.52342</v>
      </c>
      <c r="J169" s="171">
        <f>1.48476+118.03842</f>
        <v>119.52318</v>
      </c>
      <c r="K169" s="188">
        <f t="shared" si="11"/>
        <v>24.47658</v>
      </c>
      <c r="L169" s="10"/>
    </row>
    <row r="170" spans="1:12" ht="33" hidden="1">
      <c r="A170" s="94">
        <v>34</v>
      </c>
      <c r="B170" s="95" t="s">
        <v>343</v>
      </c>
      <c r="C170" s="12">
        <v>150</v>
      </c>
      <c r="D170" s="170">
        <v>144</v>
      </c>
      <c r="E170" s="9">
        <f t="shared" si="8"/>
        <v>6</v>
      </c>
      <c r="F170" s="89">
        <f t="shared" si="9"/>
        <v>4</v>
      </c>
      <c r="G170" s="170">
        <v>119.52318</v>
      </c>
      <c r="H170" s="155">
        <f t="shared" si="10"/>
        <v>-24.476820000000004</v>
      </c>
      <c r="I170" s="171">
        <f>1.485+118.03842</f>
        <v>119.52342</v>
      </c>
      <c r="J170" s="171">
        <f>1.48476+118.03842</f>
        <v>119.52318</v>
      </c>
      <c r="K170" s="188">
        <f t="shared" si="11"/>
        <v>24.47658</v>
      </c>
      <c r="L170" s="10"/>
    </row>
    <row r="171" spans="1:12" ht="30" customHeight="1" hidden="1">
      <c r="A171" s="94">
        <v>35</v>
      </c>
      <c r="B171" s="95" t="s">
        <v>344</v>
      </c>
      <c r="C171" s="12">
        <v>100</v>
      </c>
      <c r="D171" s="170">
        <v>96</v>
      </c>
      <c r="E171" s="9">
        <f t="shared" si="8"/>
        <v>4</v>
      </c>
      <c r="F171" s="89">
        <f t="shared" si="9"/>
        <v>4</v>
      </c>
      <c r="G171" s="170">
        <v>79.64428</v>
      </c>
      <c r="H171" s="155">
        <f t="shared" si="10"/>
        <v>-16.355720000000005</v>
      </c>
      <c r="I171" s="171">
        <f>0.989+78.65491</f>
        <v>79.64391</v>
      </c>
      <c r="J171" s="171">
        <f>0.98937+78.65491</f>
        <v>79.64428</v>
      </c>
      <c r="K171" s="188">
        <f t="shared" si="11"/>
        <v>16.356089999999995</v>
      </c>
      <c r="L171" s="10"/>
    </row>
    <row r="172" spans="1:12" ht="33" hidden="1">
      <c r="A172" s="94">
        <v>36</v>
      </c>
      <c r="B172" s="95" t="s">
        <v>345</v>
      </c>
      <c r="C172" s="12">
        <v>150</v>
      </c>
      <c r="D172" s="170">
        <v>144</v>
      </c>
      <c r="E172" s="9">
        <f t="shared" si="8"/>
        <v>6</v>
      </c>
      <c r="F172" s="89">
        <f t="shared" si="9"/>
        <v>4</v>
      </c>
      <c r="G172" s="170">
        <v>119.53284</v>
      </c>
      <c r="H172" s="155">
        <f t="shared" si="10"/>
        <v>-24.467160000000007</v>
      </c>
      <c r="I172" s="171">
        <f>1.485+118.04796</f>
        <v>119.53296</v>
      </c>
      <c r="J172" s="171">
        <f>1.48488+118.04796</f>
        <v>119.53284000000001</v>
      </c>
      <c r="K172" s="188">
        <f t="shared" si="11"/>
        <v>24.467039999999997</v>
      </c>
      <c r="L172" s="10"/>
    </row>
    <row r="173" spans="1:12" ht="30" customHeight="1" hidden="1">
      <c r="A173" s="94">
        <v>37</v>
      </c>
      <c r="B173" s="95" t="s">
        <v>346</v>
      </c>
      <c r="C173" s="12">
        <v>300</v>
      </c>
      <c r="D173" s="170">
        <v>288</v>
      </c>
      <c r="E173" s="9">
        <f t="shared" si="8"/>
        <v>12</v>
      </c>
      <c r="F173" s="89">
        <f t="shared" si="9"/>
        <v>4</v>
      </c>
      <c r="G173" s="170">
        <v>258.2</v>
      </c>
      <c r="H173" s="155">
        <f t="shared" si="10"/>
        <v>-29.80000000000001</v>
      </c>
      <c r="I173" s="176">
        <v>2.143</v>
      </c>
      <c r="J173" s="171">
        <v>0</v>
      </c>
      <c r="K173" s="188">
        <f t="shared" si="11"/>
        <v>285.857</v>
      </c>
      <c r="L173" s="10"/>
    </row>
    <row r="174" spans="1:12" ht="21" customHeight="1" hidden="1">
      <c r="A174" s="94">
        <v>38</v>
      </c>
      <c r="B174" s="95" t="s">
        <v>347</v>
      </c>
      <c r="C174" s="12">
        <v>150</v>
      </c>
      <c r="D174" s="170">
        <v>144</v>
      </c>
      <c r="E174" s="9">
        <f t="shared" si="8"/>
        <v>6</v>
      </c>
      <c r="F174" s="89">
        <f t="shared" si="9"/>
        <v>4</v>
      </c>
      <c r="G174" s="170">
        <v>129.1</v>
      </c>
      <c r="H174" s="155">
        <f t="shared" si="10"/>
        <v>-14.900000000000006</v>
      </c>
      <c r="I174" s="171">
        <v>0</v>
      </c>
      <c r="J174" s="171">
        <v>0</v>
      </c>
      <c r="K174" s="188">
        <f t="shared" si="11"/>
        <v>144</v>
      </c>
      <c r="L174" s="10"/>
    </row>
    <row r="175" spans="1:12" ht="32.25" customHeight="1" hidden="1">
      <c r="A175" s="94">
        <v>39</v>
      </c>
      <c r="B175" s="95" t="s">
        <v>348</v>
      </c>
      <c r="C175" s="12">
        <v>400</v>
      </c>
      <c r="D175" s="170">
        <v>384</v>
      </c>
      <c r="E175" s="9">
        <f t="shared" si="8"/>
        <v>16</v>
      </c>
      <c r="F175" s="89">
        <f t="shared" si="9"/>
        <v>4</v>
      </c>
      <c r="G175" s="170">
        <v>380.5</v>
      </c>
      <c r="H175" s="155">
        <f t="shared" si="10"/>
        <v>-3.5</v>
      </c>
      <c r="I175" s="171">
        <f>380.5</f>
        <v>380.5</v>
      </c>
      <c r="J175" s="171">
        <f>380.5</f>
        <v>380.5</v>
      </c>
      <c r="K175" s="188">
        <f t="shared" si="11"/>
        <v>3.5</v>
      </c>
      <c r="L175" s="10"/>
    </row>
    <row r="176" spans="1:12" ht="66.75" customHeight="1" hidden="1">
      <c r="A176" s="94">
        <v>40</v>
      </c>
      <c r="B176" s="95" t="s">
        <v>349</v>
      </c>
      <c r="C176" s="12">
        <v>300</v>
      </c>
      <c r="D176" s="170">
        <v>288</v>
      </c>
      <c r="E176" s="9">
        <f t="shared" si="8"/>
        <v>12</v>
      </c>
      <c r="F176" s="89">
        <f t="shared" si="9"/>
        <v>4</v>
      </c>
      <c r="G176" s="170">
        <v>300</v>
      </c>
      <c r="H176" s="155">
        <f t="shared" si="10"/>
        <v>12</v>
      </c>
      <c r="I176" s="171">
        <f>290.912+9.088</f>
        <v>300</v>
      </c>
      <c r="J176" s="171">
        <f>290.912+9.088</f>
        <v>300</v>
      </c>
      <c r="K176" s="188">
        <f t="shared" si="11"/>
        <v>-12</v>
      </c>
      <c r="L176" s="10"/>
    </row>
    <row r="177" spans="1:12" ht="33" hidden="1">
      <c r="A177" s="94">
        <v>41</v>
      </c>
      <c r="B177" s="95" t="s">
        <v>350</v>
      </c>
      <c r="C177" s="12">
        <v>286.9</v>
      </c>
      <c r="D177" s="170">
        <v>275.424</v>
      </c>
      <c r="E177" s="9">
        <f t="shared" si="8"/>
        <v>11.475999999999999</v>
      </c>
      <c r="F177" s="89">
        <f t="shared" si="9"/>
        <v>4</v>
      </c>
      <c r="G177" s="170">
        <v>21.70746</v>
      </c>
      <c r="H177" s="155">
        <f t="shared" si="10"/>
        <v>-253.71653999999998</v>
      </c>
      <c r="I177" s="171">
        <v>0</v>
      </c>
      <c r="J177" s="171">
        <v>0</v>
      </c>
      <c r="K177" s="188">
        <f t="shared" si="11"/>
        <v>275.424</v>
      </c>
      <c r="L177" s="10"/>
    </row>
    <row r="178" spans="1:12" ht="69" customHeight="1" hidden="1">
      <c r="A178" s="94">
        <v>42</v>
      </c>
      <c r="B178" s="95" t="s">
        <v>409</v>
      </c>
      <c r="C178" s="12">
        <v>150</v>
      </c>
      <c r="D178" s="173">
        <v>144</v>
      </c>
      <c r="E178" s="9">
        <f t="shared" si="8"/>
        <v>6</v>
      </c>
      <c r="F178" s="89">
        <f t="shared" si="9"/>
        <v>4</v>
      </c>
      <c r="G178" s="173">
        <v>150</v>
      </c>
      <c r="H178" s="155">
        <f t="shared" si="10"/>
        <v>6</v>
      </c>
      <c r="I178" s="175">
        <f>150</f>
        <v>150</v>
      </c>
      <c r="J178" s="175">
        <f>99+51</f>
        <v>150</v>
      </c>
      <c r="K178" s="188">
        <f t="shared" si="11"/>
        <v>-6</v>
      </c>
      <c r="L178" s="10"/>
    </row>
    <row r="179" spans="1:12" ht="17.25" hidden="1">
      <c r="A179" s="98"/>
      <c r="B179" s="120" t="s">
        <v>14</v>
      </c>
      <c r="C179" s="11">
        <f>SUM(C180:C194)</f>
        <v>9711.8</v>
      </c>
      <c r="D179" s="11">
        <f>SUM(D180:D194)</f>
        <v>9323.423999999999</v>
      </c>
      <c r="E179" s="11">
        <f t="shared" si="8"/>
        <v>388.3760000000002</v>
      </c>
      <c r="F179" s="155">
        <f t="shared" si="9"/>
        <v>3.999011511769197</v>
      </c>
      <c r="G179" s="11">
        <f>SUM(G180:G194)</f>
        <v>9193.1</v>
      </c>
      <c r="H179" s="155">
        <f t="shared" si="10"/>
        <v>-130.3239999999987</v>
      </c>
      <c r="I179" s="11">
        <f>SUM(I180:I194)</f>
        <v>2217.5</v>
      </c>
      <c r="J179" s="11">
        <f>SUM(J180:J194)</f>
        <v>2199.01</v>
      </c>
      <c r="K179" s="188">
        <f t="shared" si="11"/>
        <v>7105.923999999999</v>
      </c>
      <c r="L179" s="8"/>
    </row>
    <row r="180" spans="1:12" ht="66.75" hidden="1">
      <c r="A180" s="94">
        <v>1</v>
      </c>
      <c r="B180" s="95" t="s">
        <v>351</v>
      </c>
      <c r="C180" s="12">
        <v>3000</v>
      </c>
      <c r="D180" s="177">
        <v>2850</v>
      </c>
      <c r="E180" s="9">
        <f t="shared" si="8"/>
        <v>150</v>
      </c>
      <c r="F180" s="89">
        <f t="shared" si="9"/>
        <v>5</v>
      </c>
      <c r="G180" s="177">
        <v>2850</v>
      </c>
      <c r="H180" s="155">
        <f t="shared" si="10"/>
        <v>0</v>
      </c>
      <c r="I180" s="12">
        <v>0</v>
      </c>
      <c r="J180" s="12">
        <v>0</v>
      </c>
      <c r="K180" s="188">
        <f t="shared" si="11"/>
        <v>2850</v>
      </c>
      <c r="L180" s="10"/>
    </row>
    <row r="181" spans="1:12" ht="71.25" customHeight="1" hidden="1">
      <c r="A181" s="94">
        <v>2</v>
      </c>
      <c r="B181" s="95" t="s">
        <v>561</v>
      </c>
      <c r="C181" s="12">
        <v>3000</v>
      </c>
      <c r="D181" s="178">
        <v>3000</v>
      </c>
      <c r="E181" s="9">
        <f t="shared" si="8"/>
        <v>0</v>
      </c>
      <c r="F181" s="89">
        <f t="shared" si="9"/>
        <v>0</v>
      </c>
      <c r="G181" s="178">
        <v>3000</v>
      </c>
      <c r="H181" s="155">
        <f t="shared" si="10"/>
        <v>0</v>
      </c>
      <c r="I181" s="12">
        <v>0</v>
      </c>
      <c r="J181" s="12">
        <v>0</v>
      </c>
      <c r="K181" s="188">
        <f t="shared" si="11"/>
        <v>3000</v>
      </c>
      <c r="L181" s="10"/>
    </row>
    <row r="182" spans="1:12" ht="33" hidden="1">
      <c r="A182" s="94">
        <v>3</v>
      </c>
      <c r="B182" s="95" t="s">
        <v>562</v>
      </c>
      <c r="C182" s="12">
        <v>100</v>
      </c>
      <c r="D182" s="178">
        <v>96</v>
      </c>
      <c r="E182" s="9">
        <f t="shared" si="8"/>
        <v>4</v>
      </c>
      <c r="F182" s="89">
        <f t="shared" si="9"/>
        <v>4</v>
      </c>
      <c r="G182" s="178">
        <v>96</v>
      </c>
      <c r="H182" s="155">
        <f t="shared" si="10"/>
        <v>0</v>
      </c>
      <c r="I182" s="12">
        <v>44</v>
      </c>
      <c r="J182" s="12">
        <v>44</v>
      </c>
      <c r="K182" s="188">
        <f t="shared" si="11"/>
        <v>52</v>
      </c>
      <c r="L182" s="10"/>
    </row>
    <row r="183" spans="1:12" ht="50.25" hidden="1">
      <c r="A183" s="94">
        <v>4</v>
      </c>
      <c r="B183" s="95" t="s">
        <v>517</v>
      </c>
      <c r="C183" s="12">
        <v>300</v>
      </c>
      <c r="D183" s="178">
        <v>130.324</v>
      </c>
      <c r="E183" s="9">
        <f t="shared" si="8"/>
        <v>169.676</v>
      </c>
      <c r="F183" s="89">
        <f t="shared" si="9"/>
        <v>56.55866666666666</v>
      </c>
      <c r="G183" s="178">
        <v>0</v>
      </c>
      <c r="H183" s="155">
        <f t="shared" si="10"/>
        <v>-130.324</v>
      </c>
      <c r="I183" s="12">
        <v>0</v>
      </c>
      <c r="J183" s="12">
        <v>0</v>
      </c>
      <c r="K183" s="188">
        <f t="shared" si="11"/>
        <v>130.324</v>
      </c>
      <c r="L183" s="10"/>
    </row>
    <row r="184" spans="1:12" ht="48.75" customHeight="1" hidden="1">
      <c r="A184" s="94">
        <v>5</v>
      </c>
      <c r="B184" s="95" t="s">
        <v>563</v>
      </c>
      <c r="C184" s="12">
        <v>50</v>
      </c>
      <c r="D184" s="178">
        <v>5.8</v>
      </c>
      <c r="E184" s="9">
        <f t="shared" si="8"/>
        <v>44.2</v>
      </c>
      <c r="F184" s="89">
        <f t="shared" si="9"/>
        <v>88.4</v>
      </c>
      <c r="G184" s="178">
        <v>5.8</v>
      </c>
      <c r="H184" s="155">
        <f t="shared" si="10"/>
        <v>0</v>
      </c>
      <c r="I184" s="12">
        <v>5.8</v>
      </c>
      <c r="J184" s="12">
        <v>5.8</v>
      </c>
      <c r="K184" s="188">
        <f t="shared" si="11"/>
        <v>0</v>
      </c>
      <c r="L184" s="10"/>
    </row>
    <row r="185" spans="1:12" ht="33" hidden="1">
      <c r="A185" s="94">
        <v>6</v>
      </c>
      <c r="B185" s="95" t="s">
        <v>352</v>
      </c>
      <c r="C185" s="12">
        <v>150</v>
      </c>
      <c r="D185" s="178">
        <v>144</v>
      </c>
      <c r="E185" s="9">
        <f t="shared" si="8"/>
        <v>6</v>
      </c>
      <c r="F185" s="89">
        <f t="shared" si="9"/>
        <v>4</v>
      </c>
      <c r="G185" s="178">
        <v>144</v>
      </c>
      <c r="H185" s="155">
        <f t="shared" si="10"/>
        <v>0</v>
      </c>
      <c r="I185" s="12">
        <v>144</v>
      </c>
      <c r="J185" s="12">
        <v>144</v>
      </c>
      <c r="K185" s="188">
        <f t="shared" si="11"/>
        <v>0</v>
      </c>
      <c r="L185" s="10"/>
    </row>
    <row r="186" spans="1:12" ht="36.75" customHeight="1" hidden="1">
      <c r="A186" s="94">
        <v>7</v>
      </c>
      <c r="B186" s="95" t="s">
        <v>353</v>
      </c>
      <c r="C186" s="12">
        <v>361.8</v>
      </c>
      <c r="D186" s="178">
        <v>347.3</v>
      </c>
      <c r="E186" s="9">
        <f t="shared" si="8"/>
        <v>14.5</v>
      </c>
      <c r="F186" s="89">
        <f t="shared" si="9"/>
        <v>4.007739082365944</v>
      </c>
      <c r="G186" s="178">
        <v>347.3</v>
      </c>
      <c r="H186" s="155">
        <f t="shared" si="10"/>
        <v>0</v>
      </c>
      <c r="I186" s="12">
        <v>361.8</v>
      </c>
      <c r="J186" s="12">
        <v>347.3</v>
      </c>
      <c r="K186" s="188">
        <f t="shared" si="11"/>
        <v>-14.5</v>
      </c>
      <c r="L186" s="10"/>
    </row>
    <row r="187" spans="1:12" ht="49.5" customHeight="1" hidden="1">
      <c r="A187" s="94">
        <v>8</v>
      </c>
      <c r="B187" s="95" t="s">
        <v>410</v>
      </c>
      <c r="C187" s="12">
        <v>300</v>
      </c>
      <c r="D187" s="178">
        <v>300</v>
      </c>
      <c r="E187" s="9">
        <f t="shared" si="8"/>
        <v>0</v>
      </c>
      <c r="F187" s="89">
        <f t="shared" si="9"/>
        <v>0</v>
      </c>
      <c r="G187" s="178">
        <v>300</v>
      </c>
      <c r="H187" s="155">
        <f t="shared" si="10"/>
        <v>0</v>
      </c>
      <c r="I187" s="12">
        <v>300</v>
      </c>
      <c r="J187" s="12">
        <v>300</v>
      </c>
      <c r="K187" s="188">
        <f t="shared" si="11"/>
        <v>0</v>
      </c>
      <c r="L187" s="10"/>
    </row>
    <row r="188" spans="1:12" ht="55.5" customHeight="1" hidden="1">
      <c r="A188" s="94">
        <v>9</v>
      </c>
      <c r="B188" s="95" t="s">
        <v>564</v>
      </c>
      <c r="C188" s="12">
        <v>550</v>
      </c>
      <c r="D188" s="178">
        <v>550</v>
      </c>
      <c r="E188" s="9">
        <f t="shared" si="8"/>
        <v>0</v>
      </c>
      <c r="F188" s="89">
        <f t="shared" si="9"/>
        <v>0</v>
      </c>
      <c r="G188" s="178">
        <v>550</v>
      </c>
      <c r="H188" s="155">
        <f t="shared" si="10"/>
        <v>0</v>
      </c>
      <c r="I188" s="12">
        <v>550</v>
      </c>
      <c r="J188" s="12">
        <v>550</v>
      </c>
      <c r="K188" s="188">
        <f t="shared" si="11"/>
        <v>0</v>
      </c>
      <c r="L188" s="10"/>
    </row>
    <row r="189" spans="1:12" ht="35.25" customHeight="1" hidden="1">
      <c r="A189" s="94">
        <v>10</v>
      </c>
      <c r="B189" s="95" t="s">
        <v>411</v>
      </c>
      <c r="C189" s="12">
        <v>300</v>
      </c>
      <c r="D189" s="178">
        <v>300</v>
      </c>
      <c r="E189" s="9">
        <f t="shared" si="8"/>
        <v>0</v>
      </c>
      <c r="F189" s="89">
        <f t="shared" si="9"/>
        <v>0</v>
      </c>
      <c r="G189" s="178">
        <v>300</v>
      </c>
      <c r="H189" s="155">
        <f t="shared" si="10"/>
        <v>0</v>
      </c>
      <c r="I189" s="12">
        <v>300</v>
      </c>
      <c r="J189" s="12">
        <v>296.01</v>
      </c>
      <c r="K189" s="188">
        <f t="shared" si="11"/>
        <v>0</v>
      </c>
      <c r="L189" s="10"/>
    </row>
    <row r="190" spans="1:12" ht="51.75" customHeight="1" hidden="1">
      <c r="A190" s="94">
        <v>11</v>
      </c>
      <c r="B190" s="95" t="s">
        <v>518</v>
      </c>
      <c r="C190" s="12">
        <v>300</v>
      </c>
      <c r="D190" s="178">
        <v>300</v>
      </c>
      <c r="E190" s="9">
        <f t="shared" si="8"/>
        <v>0</v>
      </c>
      <c r="F190" s="89">
        <f t="shared" si="9"/>
        <v>0</v>
      </c>
      <c r="G190" s="178">
        <v>300</v>
      </c>
      <c r="H190" s="155">
        <f t="shared" si="10"/>
        <v>0</v>
      </c>
      <c r="I190" s="12">
        <v>0.9</v>
      </c>
      <c r="J190" s="12">
        <v>0.9</v>
      </c>
      <c r="K190" s="188">
        <f t="shared" si="11"/>
        <v>299.1</v>
      </c>
      <c r="L190" s="10"/>
    </row>
    <row r="191" spans="1:12" ht="50.25" customHeight="1" hidden="1">
      <c r="A191" s="94">
        <v>12</v>
      </c>
      <c r="B191" s="95" t="s">
        <v>412</v>
      </c>
      <c r="C191" s="12">
        <v>550</v>
      </c>
      <c r="D191" s="178">
        <v>550</v>
      </c>
      <c r="E191" s="9">
        <f t="shared" si="8"/>
        <v>0</v>
      </c>
      <c r="F191" s="89">
        <f t="shared" si="9"/>
        <v>0</v>
      </c>
      <c r="G191" s="178">
        <v>550</v>
      </c>
      <c r="H191" s="155">
        <f t="shared" si="10"/>
        <v>0</v>
      </c>
      <c r="I191" s="12">
        <v>0</v>
      </c>
      <c r="J191" s="12">
        <v>0</v>
      </c>
      <c r="K191" s="188">
        <f t="shared" si="11"/>
        <v>550</v>
      </c>
      <c r="L191" s="10"/>
    </row>
    <row r="192" spans="1:12" ht="57.75" customHeight="1" hidden="1">
      <c r="A192" s="94">
        <v>13</v>
      </c>
      <c r="B192" s="95" t="s">
        <v>547</v>
      </c>
      <c r="C192" s="12">
        <v>300</v>
      </c>
      <c r="D192" s="178">
        <v>300</v>
      </c>
      <c r="E192" s="9">
        <f t="shared" si="8"/>
        <v>0</v>
      </c>
      <c r="F192" s="89">
        <f t="shared" si="9"/>
        <v>0</v>
      </c>
      <c r="G192" s="178">
        <v>300</v>
      </c>
      <c r="H192" s="155">
        <f t="shared" si="10"/>
        <v>0</v>
      </c>
      <c r="I192" s="12">
        <v>300</v>
      </c>
      <c r="J192" s="12">
        <v>300</v>
      </c>
      <c r="K192" s="188">
        <f t="shared" si="11"/>
        <v>0</v>
      </c>
      <c r="L192" s="10"/>
    </row>
    <row r="193" spans="1:12" ht="35.25" customHeight="1" hidden="1">
      <c r="A193" s="94">
        <v>14</v>
      </c>
      <c r="B193" s="95" t="s">
        <v>546</v>
      </c>
      <c r="C193" s="12">
        <v>250</v>
      </c>
      <c r="D193" s="178">
        <v>250</v>
      </c>
      <c r="E193" s="9">
        <f t="shared" si="8"/>
        <v>0</v>
      </c>
      <c r="F193" s="89">
        <f t="shared" si="9"/>
        <v>0</v>
      </c>
      <c r="G193" s="178">
        <v>250</v>
      </c>
      <c r="H193" s="155">
        <f t="shared" si="10"/>
        <v>0</v>
      </c>
      <c r="I193" s="12">
        <v>11</v>
      </c>
      <c r="J193" s="12">
        <v>11</v>
      </c>
      <c r="K193" s="188">
        <f t="shared" si="11"/>
        <v>239</v>
      </c>
      <c r="L193" s="10"/>
    </row>
    <row r="194" spans="1:12" ht="53.25" customHeight="1" hidden="1">
      <c r="A194" s="94">
        <v>15</v>
      </c>
      <c r="B194" s="95" t="s">
        <v>488</v>
      </c>
      <c r="C194" s="12">
        <v>200</v>
      </c>
      <c r="D194" s="179">
        <v>200</v>
      </c>
      <c r="E194" s="9">
        <f t="shared" si="8"/>
        <v>0</v>
      </c>
      <c r="F194" s="89">
        <f t="shared" si="9"/>
        <v>0</v>
      </c>
      <c r="G194" s="179">
        <v>200</v>
      </c>
      <c r="H194" s="155">
        <f t="shared" si="10"/>
        <v>0</v>
      </c>
      <c r="I194" s="12">
        <v>200</v>
      </c>
      <c r="J194" s="12">
        <v>200</v>
      </c>
      <c r="K194" s="188">
        <f t="shared" si="11"/>
        <v>0</v>
      </c>
      <c r="L194" s="10"/>
    </row>
    <row r="195" spans="1:12" ht="21.75" customHeight="1" hidden="1">
      <c r="A195" s="98"/>
      <c r="B195" s="120" t="s">
        <v>15</v>
      </c>
      <c r="C195" s="11">
        <f>SUM(C196:C212)</f>
        <v>9711.8</v>
      </c>
      <c r="D195" s="11">
        <f>SUM(D196:D212)</f>
        <v>9218.12875</v>
      </c>
      <c r="E195" s="11">
        <f t="shared" si="8"/>
        <v>493.6712499999994</v>
      </c>
      <c r="F195" s="155">
        <f t="shared" si="9"/>
        <v>5.0832106303671765</v>
      </c>
      <c r="G195" s="11">
        <f>SUM(G196:G212)</f>
        <v>8780.25736</v>
      </c>
      <c r="H195" s="155">
        <f t="shared" si="10"/>
        <v>-437.87139000000025</v>
      </c>
      <c r="I195" s="11">
        <f>SUM(I196:I212)</f>
        <v>3455.9570699999995</v>
      </c>
      <c r="J195" s="11">
        <f>SUM(J196:J212)</f>
        <v>3107.6240700000003</v>
      </c>
      <c r="K195" s="188">
        <f t="shared" si="11"/>
        <v>5762.17168</v>
      </c>
      <c r="L195" s="8"/>
    </row>
    <row r="196" spans="1:12" ht="37.5" customHeight="1" hidden="1">
      <c r="A196" s="94">
        <v>1</v>
      </c>
      <c r="B196" s="95" t="s">
        <v>494</v>
      </c>
      <c r="C196" s="12">
        <v>300</v>
      </c>
      <c r="D196" s="170">
        <v>288</v>
      </c>
      <c r="E196" s="9">
        <f t="shared" si="8"/>
        <v>12</v>
      </c>
      <c r="F196" s="89">
        <f t="shared" si="9"/>
        <v>4</v>
      </c>
      <c r="G196" s="170">
        <v>239.06407</v>
      </c>
      <c r="H196" s="155">
        <f t="shared" si="10"/>
        <v>-48.93593000000001</v>
      </c>
      <c r="I196" s="170">
        <v>239.06407</v>
      </c>
      <c r="J196" s="170">
        <v>239.06407</v>
      </c>
      <c r="K196" s="188">
        <f t="shared" si="11"/>
        <v>48.93593000000001</v>
      </c>
      <c r="L196" s="10"/>
    </row>
    <row r="197" spans="1:12" ht="33" customHeight="1" hidden="1">
      <c r="A197" s="94">
        <v>2</v>
      </c>
      <c r="B197" s="95" t="s">
        <v>354</v>
      </c>
      <c r="C197" s="12">
        <v>50</v>
      </c>
      <c r="D197" s="170">
        <v>48</v>
      </c>
      <c r="E197" s="9">
        <f t="shared" si="8"/>
        <v>2</v>
      </c>
      <c r="F197" s="89">
        <f t="shared" si="9"/>
        <v>4</v>
      </c>
      <c r="G197" s="170">
        <v>43</v>
      </c>
      <c r="H197" s="155">
        <f t="shared" si="10"/>
        <v>-5</v>
      </c>
      <c r="I197" s="12">
        <v>0</v>
      </c>
      <c r="J197" s="12">
        <v>0</v>
      </c>
      <c r="K197" s="188">
        <f t="shared" si="11"/>
        <v>48</v>
      </c>
      <c r="L197" s="10"/>
    </row>
    <row r="198" spans="1:12" ht="33" hidden="1">
      <c r="A198" s="94">
        <v>3</v>
      </c>
      <c r="B198" s="95" t="s">
        <v>495</v>
      </c>
      <c r="C198" s="12">
        <v>650</v>
      </c>
      <c r="D198" s="170">
        <v>331.937</v>
      </c>
      <c r="E198" s="9">
        <f t="shared" si="8"/>
        <v>318.063</v>
      </c>
      <c r="F198" s="89">
        <f t="shared" si="9"/>
        <v>48.932769230769225</v>
      </c>
      <c r="G198" s="170">
        <v>57.90154</v>
      </c>
      <c r="H198" s="155">
        <f t="shared" si="10"/>
        <v>-274.03546</v>
      </c>
      <c r="I198" s="12">
        <v>0</v>
      </c>
      <c r="J198" s="12">
        <v>0</v>
      </c>
      <c r="K198" s="188">
        <f t="shared" si="11"/>
        <v>331.937</v>
      </c>
      <c r="L198" s="10"/>
    </row>
    <row r="199" spans="1:12" ht="37.5" customHeight="1" hidden="1">
      <c r="A199" s="94">
        <v>4</v>
      </c>
      <c r="B199" s="95" t="s">
        <v>355</v>
      </c>
      <c r="C199" s="12">
        <v>50</v>
      </c>
      <c r="D199" s="170">
        <v>48</v>
      </c>
      <c r="E199" s="9">
        <f aca="true" t="shared" si="12" ref="E199:E262">C199-D199</f>
        <v>2</v>
      </c>
      <c r="F199" s="89">
        <f aca="true" t="shared" si="13" ref="F199:F262">100-D199/C199*100</f>
        <v>4</v>
      </c>
      <c r="G199" s="170">
        <v>43</v>
      </c>
      <c r="H199" s="155">
        <f aca="true" t="shared" si="14" ref="H199:H262">G199-D199</f>
        <v>-5</v>
      </c>
      <c r="I199" s="12">
        <v>0</v>
      </c>
      <c r="J199" s="12">
        <v>0</v>
      </c>
      <c r="K199" s="188">
        <f t="shared" si="11"/>
        <v>48</v>
      </c>
      <c r="L199" s="10"/>
    </row>
    <row r="200" spans="1:12" ht="50.25" hidden="1">
      <c r="A200" s="94">
        <v>5</v>
      </c>
      <c r="B200" s="95" t="s">
        <v>356</v>
      </c>
      <c r="C200" s="12">
        <v>200</v>
      </c>
      <c r="D200" s="170">
        <v>192</v>
      </c>
      <c r="E200" s="9">
        <f t="shared" si="12"/>
        <v>8</v>
      </c>
      <c r="F200" s="89">
        <f t="shared" si="13"/>
        <v>4</v>
      </c>
      <c r="G200" s="170">
        <v>172</v>
      </c>
      <c r="H200" s="155">
        <f t="shared" si="14"/>
        <v>-20</v>
      </c>
      <c r="I200" s="12">
        <v>0</v>
      </c>
      <c r="J200" s="12">
        <v>0</v>
      </c>
      <c r="K200" s="188">
        <f aca="true" t="shared" si="15" ref="K200:K263">D200-I200</f>
        <v>192</v>
      </c>
      <c r="L200" s="10"/>
    </row>
    <row r="201" spans="1:12" ht="51.75" customHeight="1" hidden="1">
      <c r="A201" s="94">
        <v>6</v>
      </c>
      <c r="B201" s="95" t="s">
        <v>357</v>
      </c>
      <c r="C201" s="12">
        <v>50</v>
      </c>
      <c r="D201" s="170">
        <v>48</v>
      </c>
      <c r="E201" s="9">
        <f t="shared" si="12"/>
        <v>2</v>
      </c>
      <c r="F201" s="89">
        <f t="shared" si="13"/>
        <v>4</v>
      </c>
      <c r="G201" s="170">
        <v>43</v>
      </c>
      <c r="H201" s="155">
        <f t="shared" si="14"/>
        <v>-5</v>
      </c>
      <c r="I201" s="12">
        <v>0</v>
      </c>
      <c r="J201" s="12">
        <v>0</v>
      </c>
      <c r="K201" s="188">
        <f t="shared" si="15"/>
        <v>48</v>
      </c>
      <c r="L201" s="10"/>
    </row>
    <row r="202" spans="1:12" ht="33" hidden="1">
      <c r="A202" s="94">
        <v>7</v>
      </c>
      <c r="B202" s="95" t="s">
        <v>358</v>
      </c>
      <c r="C202" s="12">
        <v>300</v>
      </c>
      <c r="D202" s="170">
        <v>288</v>
      </c>
      <c r="E202" s="9">
        <f t="shared" si="12"/>
        <v>12</v>
      </c>
      <c r="F202" s="89">
        <f t="shared" si="13"/>
        <v>4</v>
      </c>
      <c r="G202" s="170">
        <v>258.1</v>
      </c>
      <c r="H202" s="155">
        <f t="shared" si="14"/>
        <v>-29.899999999999977</v>
      </c>
      <c r="I202" s="12">
        <v>2.819</v>
      </c>
      <c r="J202" s="12">
        <v>0</v>
      </c>
      <c r="K202" s="188">
        <f t="shared" si="15"/>
        <v>285.181</v>
      </c>
      <c r="L202" s="10"/>
    </row>
    <row r="203" spans="1:12" ht="39.75" customHeight="1" hidden="1">
      <c r="A203" s="94">
        <v>8</v>
      </c>
      <c r="B203" s="95" t="s">
        <v>359</v>
      </c>
      <c r="C203" s="12">
        <v>300</v>
      </c>
      <c r="D203" s="170">
        <v>288</v>
      </c>
      <c r="E203" s="9">
        <f t="shared" si="12"/>
        <v>12</v>
      </c>
      <c r="F203" s="89">
        <f t="shared" si="13"/>
        <v>4</v>
      </c>
      <c r="G203" s="170">
        <v>258</v>
      </c>
      <c r="H203" s="155">
        <f t="shared" si="14"/>
        <v>-30</v>
      </c>
      <c r="I203" s="12">
        <v>0</v>
      </c>
      <c r="J203" s="12">
        <v>0</v>
      </c>
      <c r="K203" s="188">
        <f t="shared" si="15"/>
        <v>288</v>
      </c>
      <c r="L203" s="10"/>
    </row>
    <row r="204" spans="1:12" ht="23.25" customHeight="1" hidden="1">
      <c r="A204" s="94">
        <v>9</v>
      </c>
      <c r="B204" s="95" t="s">
        <v>496</v>
      </c>
      <c r="C204" s="12">
        <v>500</v>
      </c>
      <c r="D204" s="170">
        <v>497.22275</v>
      </c>
      <c r="E204" s="9">
        <f t="shared" si="12"/>
        <v>2.777249999999981</v>
      </c>
      <c r="F204" s="89">
        <f t="shared" si="13"/>
        <v>0.5554499999999933</v>
      </c>
      <c r="G204" s="170">
        <v>497.22275</v>
      </c>
      <c r="H204" s="155">
        <f t="shared" si="14"/>
        <v>0</v>
      </c>
      <c r="I204" s="12">
        <v>4.948</v>
      </c>
      <c r="J204" s="12">
        <v>0</v>
      </c>
      <c r="K204" s="188">
        <f t="shared" si="15"/>
        <v>492.27475000000004</v>
      </c>
      <c r="L204" s="10"/>
    </row>
    <row r="205" spans="1:12" ht="21" customHeight="1" hidden="1">
      <c r="A205" s="94">
        <v>10</v>
      </c>
      <c r="B205" s="95" t="s">
        <v>499</v>
      </c>
      <c r="C205" s="12">
        <v>400</v>
      </c>
      <c r="D205" s="170">
        <v>399.96</v>
      </c>
      <c r="E205" s="9">
        <f t="shared" si="12"/>
        <v>0.040000000000020464</v>
      </c>
      <c r="F205" s="89">
        <f t="shared" si="13"/>
        <v>0.010000000000005116</v>
      </c>
      <c r="G205" s="170">
        <v>399.96</v>
      </c>
      <c r="H205" s="155">
        <f t="shared" si="14"/>
        <v>0</v>
      </c>
      <c r="I205" s="12">
        <v>3.96</v>
      </c>
      <c r="J205" s="12">
        <v>3.96</v>
      </c>
      <c r="K205" s="188">
        <f t="shared" si="15"/>
        <v>396</v>
      </c>
      <c r="L205" s="10"/>
    </row>
    <row r="206" spans="1:12" ht="55.5" customHeight="1" hidden="1">
      <c r="A206" s="94">
        <v>11</v>
      </c>
      <c r="B206" s="95" t="s">
        <v>360</v>
      </c>
      <c r="C206" s="12">
        <v>200</v>
      </c>
      <c r="D206" s="170">
        <v>192</v>
      </c>
      <c r="E206" s="9">
        <f t="shared" si="12"/>
        <v>8</v>
      </c>
      <c r="F206" s="89">
        <f t="shared" si="13"/>
        <v>4</v>
      </c>
      <c r="G206" s="170">
        <v>172</v>
      </c>
      <c r="H206" s="155">
        <f t="shared" si="14"/>
        <v>-20</v>
      </c>
      <c r="I206" s="12">
        <v>0</v>
      </c>
      <c r="J206" s="12">
        <v>0</v>
      </c>
      <c r="K206" s="188">
        <f t="shared" si="15"/>
        <v>192</v>
      </c>
      <c r="L206" s="10"/>
    </row>
    <row r="207" spans="1:12" ht="82.5" customHeight="1" hidden="1">
      <c r="A207" s="98">
        <v>12</v>
      </c>
      <c r="B207" s="95" t="s">
        <v>413</v>
      </c>
      <c r="C207" s="9">
        <v>5176.8</v>
      </c>
      <c r="D207" s="172">
        <v>5176.8</v>
      </c>
      <c r="E207" s="9">
        <f t="shared" si="12"/>
        <v>0</v>
      </c>
      <c r="F207" s="89">
        <f t="shared" si="13"/>
        <v>0</v>
      </c>
      <c r="G207" s="172">
        <v>5176.8</v>
      </c>
      <c r="H207" s="155">
        <f t="shared" si="14"/>
        <v>0</v>
      </c>
      <c r="I207" s="9">
        <v>2320.966</v>
      </c>
      <c r="J207" s="9">
        <v>2279.82</v>
      </c>
      <c r="K207" s="188">
        <f t="shared" si="15"/>
        <v>2855.8340000000003</v>
      </c>
      <c r="L207" s="10"/>
    </row>
    <row r="208" spans="1:12" ht="85.5" customHeight="1" hidden="1">
      <c r="A208" s="98">
        <v>13</v>
      </c>
      <c r="B208" s="95" t="s">
        <v>497</v>
      </c>
      <c r="C208" s="9">
        <v>549</v>
      </c>
      <c r="D208" s="170">
        <v>544</v>
      </c>
      <c r="E208" s="9">
        <f t="shared" si="12"/>
        <v>5</v>
      </c>
      <c r="F208" s="89">
        <f t="shared" si="13"/>
        <v>0.9107468123861509</v>
      </c>
      <c r="G208" s="170">
        <v>544</v>
      </c>
      <c r="H208" s="155">
        <f t="shared" si="14"/>
        <v>0</v>
      </c>
      <c r="I208" s="9">
        <v>544</v>
      </c>
      <c r="J208" s="9">
        <v>399</v>
      </c>
      <c r="K208" s="188">
        <f t="shared" si="15"/>
        <v>0</v>
      </c>
      <c r="L208" s="10"/>
    </row>
    <row r="209" spans="1:12" ht="69.75" customHeight="1" hidden="1">
      <c r="A209" s="98">
        <v>14</v>
      </c>
      <c r="B209" s="95" t="s">
        <v>569</v>
      </c>
      <c r="C209" s="9">
        <v>186</v>
      </c>
      <c r="D209" s="170">
        <v>185.8</v>
      </c>
      <c r="E209" s="9">
        <f t="shared" si="12"/>
        <v>0.19999999999998863</v>
      </c>
      <c r="F209" s="89">
        <f t="shared" si="13"/>
        <v>0.10752688172041758</v>
      </c>
      <c r="G209" s="170">
        <v>185.8</v>
      </c>
      <c r="H209" s="155">
        <f t="shared" si="14"/>
        <v>0</v>
      </c>
      <c r="I209" s="9">
        <v>186</v>
      </c>
      <c r="J209" s="9">
        <v>185.78</v>
      </c>
      <c r="K209" s="188">
        <f t="shared" si="15"/>
        <v>-0.19999999999998863</v>
      </c>
      <c r="L209" s="10"/>
    </row>
    <row r="210" spans="1:12" ht="72.75" customHeight="1" hidden="1">
      <c r="A210" s="98">
        <v>15</v>
      </c>
      <c r="B210" s="95" t="s">
        <v>509</v>
      </c>
      <c r="C210" s="9">
        <v>200</v>
      </c>
      <c r="D210" s="170">
        <v>200</v>
      </c>
      <c r="E210" s="9">
        <f t="shared" si="12"/>
        <v>0</v>
      </c>
      <c r="F210" s="89">
        <f t="shared" si="13"/>
        <v>0</v>
      </c>
      <c r="G210" s="170">
        <v>200</v>
      </c>
      <c r="H210" s="155">
        <f t="shared" si="14"/>
        <v>0</v>
      </c>
      <c r="I210" s="9">
        <v>0</v>
      </c>
      <c r="J210" s="9">
        <v>0</v>
      </c>
      <c r="K210" s="188">
        <f t="shared" si="15"/>
        <v>200</v>
      </c>
      <c r="L210" s="10"/>
    </row>
    <row r="211" spans="1:12" ht="69.75" customHeight="1" hidden="1">
      <c r="A211" s="98">
        <v>16</v>
      </c>
      <c r="B211" s="95" t="s">
        <v>498</v>
      </c>
      <c r="C211" s="9">
        <v>500</v>
      </c>
      <c r="D211" s="170">
        <v>490.409</v>
      </c>
      <c r="E211" s="9">
        <f t="shared" si="12"/>
        <v>9.591000000000008</v>
      </c>
      <c r="F211" s="89">
        <f t="shared" si="13"/>
        <v>1.9181999999999988</v>
      </c>
      <c r="G211" s="170">
        <v>490.409</v>
      </c>
      <c r="H211" s="155">
        <f t="shared" si="14"/>
        <v>0</v>
      </c>
      <c r="I211" s="9">
        <v>154.2</v>
      </c>
      <c r="J211" s="9">
        <v>0</v>
      </c>
      <c r="K211" s="188">
        <f t="shared" si="15"/>
        <v>336.209</v>
      </c>
      <c r="L211" s="10"/>
    </row>
    <row r="212" spans="1:12" ht="38.25" customHeight="1" hidden="1">
      <c r="A212" s="98">
        <v>17</v>
      </c>
      <c r="B212" s="95" t="s">
        <v>414</v>
      </c>
      <c r="C212" s="9">
        <v>100</v>
      </c>
      <c r="D212" s="180">
        <v>0</v>
      </c>
      <c r="E212" s="9">
        <f t="shared" si="12"/>
        <v>100</v>
      </c>
      <c r="F212" s="89">
        <f t="shared" si="13"/>
        <v>100</v>
      </c>
      <c r="G212" s="180">
        <v>0</v>
      </c>
      <c r="H212" s="155">
        <f t="shared" si="14"/>
        <v>0</v>
      </c>
      <c r="I212" s="9">
        <v>0</v>
      </c>
      <c r="J212" s="9">
        <v>0</v>
      </c>
      <c r="K212" s="188">
        <f t="shared" si="15"/>
        <v>0</v>
      </c>
      <c r="L212" s="10"/>
    </row>
    <row r="213" spans="1:12" ht="17.25">
      <c r="A213" s="364" t="s">
        <v>16</v>
      </c>
      <c r="B213" s="365"/>
      <c r="C213" s="71">
        <v>23563.5</v>
      </c>
      <c r="D213" s="71">
        <v>22621</v>
      </c>
      <c r="E213" s="71">
        <f t="shared" si="12"/>
        <v>942.5</v>
      </c>
      <c r="F213" s="71">
        <f t="shared" si="13"/>
        <v>3.999830245931207</v>
      </c>
      <c r="G213" s="71">
        <f>G214+G250+G273</f>
        <v>23462.185999999998</v>
      </c>
      <c r="H213" s="71">
        <f t="shared" si="14"/>
        <v>841.1859999999979</v>
      </c>
      <c r="I213" s="71">
        <f>I214+I250+I273</f>
        <v>14901.1772</v>
      </c>
      <c r="J213" s="71">
        <f>J214+J250+J273</f>
        <v>9385.354999999998</v>
      </c>
      <c r="K213" s="188">
        <f t="shared" si="15"/>
        <v>7719.8228</v>
      </c>
      <c r="L213" s="72"/>
    </row>
    <row r="214" spans="1:12" ht="17.25">
      <c r="A214" s="98"/>
      <c r="B214" s="114" t="s">
        <v>17</v>
      </c>
      <c r="C214" s="11">
        <v>7854.5</v>
      </c>
      <c r="D214" s="11">
        <f>SUM(D215:D249)</f>
        <v>0</v>
      </c>
      <c r="E214" s="11">
        <f t="shared" si="12"/>
        <v>7854.5</v>
      </c>
      <c r="F214" s="155">
        <f t="shared" si="13"/>
        <v>100</v>
      </c>
      <c r="G214" s="11">
        <f>SUM(G215:G249)</f>
        <v>7753.846</v>
      </c>
      <c r="H214" s="155">
        <f t="shared" si="14"/>
        <v>7753.846</v>
      </c>
      <c r="I214" s="11">
        <f>SUM(I215:I249)</f>
        <v>6363.348</v>
      </c>
      <c r="J214" s="11">
        <f>SUM(J215:J249)</f>
        <v>6080.2249999999985</v>
      </c>
      <c r="K214" s="188">
        <f t="shared" si="15"/>
        <v>-6363.348</v>
      </c>
      <c r="L214" s="8"/>
    </row>
    <row r="215" spans="1:12" ht="33">
      <c r="A215" s="94">
        <v>1</v>
      </c>
      <c r="B215" s="102" t="s">
        <v>119</v>
      </c>
      <c r="C215" s="12">
        <v>100</v>
      </c>
      <c r="D215" s="12"/>
      <c r="E215" s="9">
        <f t="shared" si="12"/>
        <v>100</v>
      </c>
      <c r="F215" s="89">
        <f t="shared" si="13"/>
        <v>100</v>
      </c>
      <c r="G215" s="12">
        <v>99.86</v>
      </c>
      <c r="H215" s="155">
        <f t="shared" si="14"/>
        <v>99.86</v>
      </c>
      <c r="I215" s="12">
        <v>99.86</v>
      </c>
      <c r="J215" s="12">
        <v>99.86</v>
      </c>
      <c r="K215" s="188">
        <f t="shared" si="15"/>
        <v>-99.86</v>
      </c>
      <c r="L215" s="10"/>
    </row>
    <row r="216" spans="1:12" ht="33">
      <c r="A216" s="94">
        <v>2</v>
      </c>
      <c r="B216" s="102" t="s">
        <v>120</v>
      </c>
      <c r="C216" s="12">
        <v>147.7</v>
      </c>
      <c r="D216" s="90"/>
      <c r="E216" s="9">
        <f t="shared" si="12"/>
        <v>147.7</v>
      </c>
      <c r="F216" s="89">
        <f t="shared" si="13"/>
        <v>100</v>
      </c>
      <c r="G216" s="12">
        <v>147.7</v>
      </c>
      <c r="H216" s="155">
        <f t="shared" si="14"/>
        <v>147.7</v>
      </c>
      <c r="I216" s="12">
        <v>67.06</v>
      </c>
      <c r="J216" s="12">
        <v>67.06</v>
      </c>
      <c r="K216" s="188">
        <f t="shared" si="15"/>
        <v>-67.06</v>
      </c>
      <c r="L216" s="10"/>
    </row>
    <row r="217" spans="1:12" ht="33">
      <c r="A217" s="94">
        <v>3</v>
      </c>
      <c r="B217" s="102" t="s">
        <v>121</v>
      </c>
      <c r="C217" s="12">
        <v>100</v>
      </c>
      <c r="D217" s="12"/>
      <c r="E217" s="9">
        <f t="shared" si="12"/>
        <v>100</v>
      </c>
      <c r="F217" s="89">
        <f t="shared" si="13"/>
        <v>100</v>
      </c>
      <c r="G217" s="12">
        <v>99.51</v>
      </c>
      <c r="H217" s="155">
        <f t="shared" si="14"/>
        <v>99.51</v>
      </c>
      <c r="I217" s="12">
        <v>99.51</v>
      </c>
      <c r="J217" s="12">
        <v>68.06</v>
      </c>
      <c r="K217" s="188">
        <f t="shared" si="15"/>
        <v>-99.51</v>
      </c>
      <c r="L217" s="10"/>
    </row>
    <row r="218" spans="1:12" ht="33">
      <c r="A218" s="94">
        <v>4</v>
      </c>
      <c r="B218" s="102" t="s">
        <v>122</v>
      </c>
      <c r="C218" s="12">
        <v>200</v>
      </c>
      <c r="D218" s="12"/>
      <c r="E218" s="9">
        <f t="shared" si="12"/>
        <v>200</v>
      </c>
      <c r="F218" s="89">
        <f t="shared" si="13"/>
        <v>100</v>
      </c>
      <c r="G218" s="12">
        <v>200</v>
      </c>
      <c r="H218" s="155">
        <f t="shared" si="14"/>
        <v>200</v>
      </c>
      <c r="I218" s="12">
        <v>200</v>
      </c>
      <c r="J218" s="12">
        <v>200</v>
      </c>
      <c r="K218" s="188">
        <f t="shared" si="15"/>
        <v>-200</v>
      </c>
      <c r="L218" s="10"/>
    </row>
    <row r="219" spans="1:12" ht="33">
      <c r="A219" s="94">
        <v>5</v>
      </c>
      <c r="B219" s="102" t="s">
        <v>123</v>
      </c>
      <c r="C219" s="12">
        <v>200</v>
      </c>
      <c r="D219" s="12"/>
      <c r="E219" s="9">
        <f t="shared" si="12"/>
        <v>200</v>
      </c>
      <c r="F219" s="89">
        <f t="shared" si="13"/>
        <v>100</v>
      </c>
      <c r="G219" s="12">
        <v>199.996</v>
      </c>
      <c r="H219" s="155">
        <f t="shared" si="14"/>
        <v>199.996</v>
      </c>
      <c r="I219" s="12">
        <v>199.996</v>
      </c>
      <c r="J219" s="12">
        <v>199.996</v>
      </c>
      <c r="K219" s="188">
        <f t="shared" si="15"/>
        <v>-199.996</v>
      </c>
      <c r="L219" s="10"/>
    </row>
    <row r="220" spans="1:12" ht="33">
      <c r="A220" s="94">
        <v>6</v>
      </c>
      <c r="B220" s="102" t="s">
        <v>130</v>
      </c>
      <c r="C220" s="12">
        <v>100</v>
      </c>
      <c r="D220" s="12"/>
      <c r="E220" s="9">
        <f t="shared" si="12"/>
        <v>100</v>
      </c>
      <c r="F220" s="89">
        <f t="shared" si="13"/>
        <v>100</v>
      </c>
      <c r="G220" s="12">
        <v>100</v>
      </c>
      <c r="H220" s="155">
        <f t="shared" si="14"/>
        <v>100</v>
      </c>
      <c r="I220" s="12">
        <v>100</v>
      </c>
      <c r="J220" s="12">
        <v>100</v>
      </c>
      <c r="K220" s="188">
        <f t="shared" si="15"/>
        <v>-100</v>
      </c>
      <c r="L220" s="10"/>
    </row>
    <row r="221" spans="1:12" ht="33.75" customHeight="1">
      <c r="A221" s="94">
        <v>7</v>
      </c>
      <c r="B221" s="108" t="s">
        <v>131</v>
      </c>
      <c r="C221" s="9">
        <v>1256.8</v>
      </c>
      <c r="D221" s="92"/>
      <c r="E221" s="9">
        <f t="shared" si="12"/>
        <v>1256.8</v>
      </c>
      <c r="F221" s="89">
        <f t="shared" si="13"/>
        <v>100</v>
      </c>
      <c r="G221" s="9">
        <v>1256.8</v>
      </c>
      <c r="H221" s="155">
        <f t="shared" si="14"/>
        <v>1256.8</v>
      </c>
      <c r="I221" s="9">
        <v>1202.362</v>
      </c>
      <c r="J221" s="9">
        <v>1169.36</v>
      </c>
      <c r="K221" s="188">
        <f t="shared" si="15"/>
        <v>-1202.362</v>
      </c>
      <c r="L221" s="10"/>
    </row>
    <row r="222" spans="1:12" ht="33">
      <c r="A222" s="94">
        <v>8</v>
      </c>
      <c r="B222" s="102" t="s">
        <v>124</v>
      </c>
      <c r="C222" s="12">
        <v>200</v>
      </c>
      <c r="D222" s="12"/>
      <c r="E222" s="9">
        <f t="shared" si="12"/>
        <v>200</v>
      </c>
      <c r="F222" s="89">
        <f t="shared" si="13"/>
        <v>100</v>
      </c>
      <c r="G222" s="12">
        <v>200</v>
      </c>
      <c r="H222" s="155">
        <f t="shared" si="14"/>
        <v>200</v>
      </c>
      <c r="I222" s="12">
        <v>200</v>
      </c>
      <c r="J222" s="12">
        <v>200</v>
      </c>
      <c r="K222" s="188">
        <f t="shared" si="15"/>
        <v>-200</v>
      </c>
      <c r="L222" s="10"/>
    </row>
    <row r="223" spans="1:12" ht="33" customHeight="1">
      <c r="A223" s="94">
        <v>9</v>
      </c>
      <c r="B223" s="102" t="s">
        <v>125</v>
      </c>
      <c r="C223" s="12">
        <v>100</v>
      </c>
      <c r="D223" s="12"/>
      <c r="E223" s="9">
        <f t="shared" si="12"/>
        <v>100</v>
      </c>
      <c r="F223" s="89">
        <f t="shared" si="13"/>
        <v>100</v>
      </c>
      <c r="G223" s="12">
        <v>100</v>
      </c>
      <c r="H223" s="155">
        <f t="shared" si="14"/>
        <v>100</v>
      </c>
      <c r="I223" s="12">
        <v>100</v>
      </c>
      <c r="J223" s="12">
        <v>100</v>
      </c>
      <c r="K223" s="188">
        <f t="shared" si="15"/>
        <v>-100</v>
      </c>
      <c r="L223" s="10"/>
    </row>
    <row r="224" spans="1:12" ht="33">
      <c r="A224" s="94">
        <v>10</v>
      </c>
      <c r="B224" s="102" t="s">
        <v>132</v>
      </c>
      <c r="C224" s="12">
        <v>200</v>
      </c>
      <c r="D224" s="12"/>
      <c r="E224" s="9">
        <f t="shared" si="12"/>
        <v>200</v>
      </c>
      <c r="F224" s="89">
        <f t="shared" si="13"/>
        <v>100</v>
      </c>
      <c r="G224" s="12">
        <v>200</v>
      </c>
      <c r="H224" s="155">
        <f t="shared" si="14"/>
        <v>200</v>
      </c>
      <c r="I224" s="12">
        <v>200</v>
      </c>
      <c r="J224" s="12">
        <v>200</v>
      </c>
      <c r="K224" s="188">
        <f t="shared" si="15"/>
        <v>-200</v>
      </c>
      <c r="L224" s="10"/>
    </row>
    <row r="225" spans="1:12" ht="33">
      <c r="A225" s="94">
        <v>11</v>
      </c>
      <c r="B225" s="102" t="s">
        <v>133</v>
      </c>
      <c r="C225" s="12">
        <v>100</v>
      </c>
      <c r="D225" s="12"/>
      <c r="E225" s="9">
        <f t="shared" si="12"/>
        <v>100</v>
      </c>
      <c r="F225" s="89">
        <f t="shared" si="13"/>
        <v>100</v>
      </c>
      <c r="G225" s="12">
        <v>100</v>
      </c>
      <c r="H225" s="155">
        <f t="shared" si="14"/>
        <v>100</v>
      </c>
      <c r="I225" s="12">
        <v>68.06</v>
      </c>
      <c r="J225" s="12">
        <v>68.06</v>
      </c>
      <c r="K225" s="188">
        <f t="shared" si="15"/>
        <v>-68.06</v>
      </c>
      <c r="L225" s="10"/>
    </row>
    <row r="226" spans="1:12" ht="33">
      <c r="A226" s="94">
        <v>12</v>
      </c>
      <c r="B226" s="102" t="s">
        <v>126</v>
      </c>
      <c r="C226" s="12">
        <v>100</v>
      </c>
      <c r="D226" s="12"/>
      <c r="E226" s="9">
        <f t="shared" si="12"/>
        <v>100</v>
      </c>
      <c r="F226" s="89">
        <f t="shared" si="13"/>
        <v>100</v>
      </c>
      <c r="G226" s="12">
        <v>100</v>
      </c>
      <c r="H226" s="155">
        <f t="shared" si="14"/>
        <v>100</v>
      </c>
      <c r="I226" s="12">
        <v>100</v>
      </c>
      <c r="J226" s="12">
        <v>100</v>
      </c>
      <c r="K226" s="188">
        <f t="shared" si="15"/>
        <v>-100</v>
      </c>
      <c r="L226" s="10"/>
    </row>
    <row r="227" spans="1:12" ht="33">
      <c r="A227" s="94">
        <v>13</v>
      </c>
      <c r="B227" s="102" t="s">
        <v>127</v>
      </c>
      <c r="C227" s="12">
        <v>100</v>
      </c>
      <c r="D227" s="12"/>
      <c r="E227" s="9">
        <f t="shared" si="12"/>
        <v>100</v>
      </c>
      <c r="F227" s="89">
        <f t="shared" si="13"/>
        <v>100</v>
      </c>
      <c r="G227" s="12">
        <v>100</v>
      </c>
      <c r="H227" s="155">
        <f t="shared" si="14"/>
        <v>100</v>
      </c>
      <c r="I227" s="12">
        <v>100</v>
      </c>
      <c r="J227" s="12">
        <v>69.7</v>
      </c>
      <c r="K227" s="188">
        <f t="shared" si="15"/>
        <v>-100</v>
      </c>
      <c r="L227" s="10"/>
    </row>
    <row r="228" spans="1:12" ht="35.25" customHeight="1">
      <c r="A228" s="94">
        <v>14</v>
      </c>
      <c r="B228" s="102" t="s">
        <v>134</v>
      </c>
      <c r="C228" s="12">
        <v>100</v>
      </c>
      <c r="D228" s="12"/>
      <c r="E228" s="9">
        <f t="shared" si="12"/>
        <v>100</v>
      </c>
      <c r="F228" s="89">
        <f t="shared" si="13"/>
        <v>100</v>
      </c>
      <c r="G228" s="12">
        <v>99.98</v>
      </c>
      <c r="H228" s="155">
        <f t="shared" si="14"/>
        <v>99.98</v>
      </c>
      <c r="I228" s="12">
        <v>100</v>
      </c>
      <c r="J228" s="12">
        <v>68.06</v>
      </c>
      <c r="K228" s="188">
        <f t="shared" si="15"/>
        <v>-100</v>
      </c>
      <c r="L228" s="10"/>
    </row>
    <row r="229" spans="1:12" ht="33" customHeight="1">
      <c r="A229" s="94">
        <v>15</v>
      </c>
      <c r="B229" s="102" t="s">
        <v>135</v>
      </c>
      <c r="C229" s="12">
        <v>100</v>
      </c>
      <c r="D229" s="12"/>
      <c r="E229" s="9">
        <f t="shared" si="12"/>
        <v>100</v>
      </c>
      <c r="F229" s="89">
        <f t="shared" si="13"/>
        <v>100</v>
      </c>
      <c r="G229" s="12">
        <v>100</v>
      </c>
      <c r="H229" s="155">
        <f t="shared" si="14"/>
        <v>100</v>
      </c>
      <c r="I229" s="12">
        <v>100</v>
      </c>
      <c r="J229" s="12">
        <v>100</v>
      </c>
      <c r="K229" s="188">
        <f t="shared" si="15"/>
        <v>-100</v>
      </c>
      <c r="L229" s="10"/>
    </row>
    <row r="230" spans="1:12" ht="33">
      <c r="A230" s="94">
        <v>16</v>
      </c>
      <c r="B230" s="102" t="s">
        <v>136</v>
      </c>
      <c r="C230" s="12">
        <v>100</v>
      </c>
      <c r="D230" s="12"/>
      <c r="E230" s="9">
        <f t="shared" si="12"/>
        <v>100</v>
      </c>
      <c r="F230" s="89">
        <f t="shared" si="13"/>
        <v>100</v>
      </c>
      <c r="G230" s="12">
        <v>100</v>
      </c>
      <c r="H230" s="155">
        <f t="shared" si="14"/>
        <v>100</v>
      </c>
      <c r="I230" s="12">
        <v>100</v>
      </c>
      <c r="J230" s="12">
        <v>100</v>
      </c>
      <c r="K230" s="188">
        <f t="shared" si="15"/>
        <v>-100</v>
      </c>
      <c r="L230" s="10"/>
    </row>
    <row r="231" spans="1:12" ht="20.25" customHeight="1">
      <c r="A231" s="94">
        <v>17</v>
      </c>
      <c r="B231" s="102" t="s">
        <v>137</v>
      </c>
      <c r="C231" s="12">
        <v>250</v>
      </c>
      <c r="D231" s="12"/>
      <c r="E231" s="9">
        <f t="shared" si="12"/>
        <v>250</v>
      </c>
      <c r="F231" s="89">
        <f t="shared" si="13"/>
        <v>100</v>
      </c>
      <c r="G231" s="12">
        <v>250</v>
      </c>
      <c r="H231" s="155">
        <f>G231-D231</f>
        <v>250</v>
      </c>
      <c r="I231" s="12">
        <v>250</v>
      </c>
      <c r="J231" s="12">
        <v>250</v>
      </c>
      <c r="K231" s="188">
        <f t="shared" si="15"/>
        <v>-250</v>
      </c>
      <c r="L231" s="10"/>
    </row>
    <row r="232" spans="1:12" ht="34.5" customHeight="1">
      <c r="A232" s="94">
        <v>18</v>
      </c>
      <c r="B232" s="102" t="s">
        <v>138</v>
      </c>
      <c r="C232" s="12">
        <v>250</v>
      </c>
      <c r="D232" s="12"/>
      <c r="E232" s="9">
        <f t="shared" si="12"/>
        <v>250</v>
      </c>
      <c r="F232" s="89">
        <f t="shared" si="13"/>
        <v>100</v>
      </c>
      <c r="G232" s="12">
        <v>250</v>
      </c>
      <c r="H232" s="155">
        <f t="shared" si="14"/>
        <v>250</v>
      </c>
      <c r="I232" s="12">
        <v>250</v>
      </c>
      <c r="J232" s="12">
        <v>250</v>
      </c>
      <c r="K232" s="188">
        <f t="shared" si="15"/>
        <v>-250</v>
      </c>
      <c r="L232" s="10"/>
    </row>
    <row r="233" spans="1:12" ht="22.5" customHeight="1">
      <c r="A233" s="94">
        <v>19</v>
      </c>
      <c r="B233" s="102" t="s">
        <v>128</v>
      </c>
      <c r="C233" s="12">
        <v>250</v>
      </c>
      <c r="D233" s="12"/>
      <c r="E233" s="9">
        <f t="shared" si="12"/>
        <v>250</v>
      </c>
      <c r="F233" s="89">
        <f t="shared" si="13"/>
        <v>100</v>
      </c>
      <c r="G233" s="12">
        <v>250</v>
      </c>
      <c r="H233" s="155">
        <f t="shared" si="14"/>
        <v>250</v>
      </c>
      <c r="I233" s="12">
        <v>250</v>
      </c>
      <c r="J233" s="12">
        <v>250</v>
      </c>
      <c r="K233" s="188">
        <f t="shared" si="15"/>
        <v>-250</v>
      </c>
      <c r="L233" s="10"/>
    </row>
    <row r="234" spans="1:12" ht="21.75" customHeight="1">
      <c r="A234" s="94">
        <v>20</v>
      </c>
      <c r="B234" s="102" t="s">
        <v>139</v>
      </c>
      <c r="C234" s="12">
        <v>250</v>
      </c>
      <c r="D234" s="12"/>
      <c r="E234" s="9">
        <f t="shared" si="12"/>
        <v>250</v>
      </c>
      <c r="F234" s="89">
        <f t="shared" si="13"/>
        <v>100</v>
      </c>
      <c r="G234" s="12">
        <v>250</v>
      </c>
      <c r="H234" s="155">
        <f t="shared" si="14"/>
        <v>250</v>
      </c>
      <c r="I234" s="12">
        <v>250</v>
      </c>
      <c r="J234" s="12">
        <v>250</v>
      </c>
      <c r="K234" s="188">
        <f t="shared" si="15"/>
        <v>-250</v>
      </c>
      <c r="L234" s="10"/>
    </row>
    <row r="235" spans="1:12" ht="33" customHeight="1">
      <c r="A235" s="94">
        <v>21</v>
      </c>
      <c r="B235" s="102" t="s">
        <v>140</v>
      </c>
      <c r="C235" s="12">
        <v>250</v>
      </c>
      <c r="D235" s="12"/>
      <c r="E235" s="9">
        <f t="shared" si="12"/>
        <v>250</v>
      </c>
      <c r="F235" s="89">
        <f t="shared" si="13"/>
        <v>100</v>
      </c>
      <c r="G235" s="12">
        <v>250</v>
      </c>
      <c r="H235" s="155">
        <f t="shared" si="14"/>
        <v>250</v>
      </c>
      <c r="I235" s="12">
        <v>250</v>
      </c>
      <c r="J235" s="12">
        <v>250</v>
      </c>
      <c r="K235" s="188">
        <f t="shared" si="15"/>
        <v>-250</v>
      </c>
      <c r="L235" s="10"/>
    </row>
    <row r="236" spans="1:12" ht="23.25" customHeight="1">
      <c r="A236" s="94">
        <v>22</v>
      </c>
      <c r="B236" s="102" t="s">
        <v>141</v>
      </c>
      <c r="C236" s="12">
        <v>250</v>
      </c>
      <c r="D236" s="12"/>
      <c r="E236" s="9">
        <f t="shared" si="12"/>
        <v>250</v>
      </c>
      <c r="F236" s="89">
        <f t="shared" si="13"/>
        <v>100</v>
      </c>
      <c r="G236" s="12">
        <v>250</v>
      </c>
      <c r="H236" s="155">
        <f t="shared" si="14"/>
        <v>250</v>
      </c>
      <c r="I236" s="12">
        <v>250</v>
      </c>
      <c r="J236" s="12">
        <v>250</v>
      </c>
      <c r="K236" s="188">
        <f t="shared" si="15"/>
        <v>-250</v>
      </c>
      <c r="L236" s="10"/>
    </row>
    <row r="237" spans="1:12" ht="22.5" customHeight="1">
      <c r="A237" s="94">
        <v>23</v>
      </c>
      <c r="B237" s="102" t="s">
        <v>142</v>
      </c>
      <c r="C237" s="12">
        <v>250</v>
      </c>
      <c r="D237" s="12"/>
      <c r="E237" s="9">
        <f t="shared" si="12"/>
        <v>250</v>
      </c>
      <c r="F237" s="89">
        <f t="shared" si="13"/>
        <v>100</v>
      </c>
      <c r="G237" s="12">
        <v>250</v>
      </c>
      <c r="H237" s="155">
        <f t="shared" si="14"/>
        <v>250</v>
      </c>
      <c r="I237" s="12">
        <v>250</v>
      </c>
      <c r="J237" s="12">
        <v>250</v>
      </c>
      <c r="K237" s="188">
        <f t="shared" si="15"/>
        <v>-250</v>
      </c>
      <c r="L237" s="10"/>
    </row>
    <row r="238" spans="1:12" ht="21.75" customHeight="1">
      <c r="A238" s="94">
        <v>24</v>
      </c>
      <c r="B238" s="102" t="s">
        <v>143</v>
      </c>
      <c r="C238" s="12">
        <v>200</v>
      </c>
      <c r="D238" s="12"/>
      <c r="E238" s="9">
        <f t="shared" si="12"/>
        <v>200</v>
      </c>
      <c r="F238" s="89">
        <f t="shared" si="13"/>
        <v>100</v>
      </c>
      <c r="G238" s="12">
        <v>200</v>
      </c>
      <c r="H238" s="155">
        <f t="shared" si="14"/>
        <v>200</v>
      </c>
      <c r="I238" s="12">
        <v>0</v>
      </c>
      <c r="J238" s="12">
        <v>0</v>
      </c>
      <c r="K238" s="188">
        <f t="shared" si="15"/>
        <v>0</v>
      </c>
      <c r="L238" s="10"/>
    </row>
    <row r="239" spans="1:12" ht="35.25" customHeight="1">
      <c r="A239" s="121">
        <v>25</v>
      </c>
      <c r="B239" s="102" t="s">
        <v>144</v>
      </c>
      <c r="C239" s="14">
        <v>200</v>
      </c>
      <c r="D239" s="14"/>
      <c r="E239" s="9">
        <f t="shared" si="12"/>
        <v>200</v>
      </c>
      <c r="F239" s="89">
        <f t="shared" si="13"/>
        <v>100</v>
      </c>
      <c r="G239" s="14">
        <v>200</v>
      </c>
      <c r="H239" s="155">
        <f t="shared" si="14"/>
        <v>200</v>
      </c>
      <c r="I239" s="14">
        <v>199.49</v>
      </c>
      <c r="J239" s="14">
        <v>100</v>
      </c>
      <c r="K239" s="188">
        <f t="shared" si="15"/>
        <v>-199.49</v>
      </c>
      <c r="L239" s="10"/>
    </row>
    <row r="240" spans="1:12" ht="33.75" customHeight="1">
      <c r="A240" s="121">
        <v>26</v>
      </c>
      <c r="B240" s="102" t="s">
        <v>145</v>
      </c>
      <c r="C240" s="14">
        <v>150</v>
      </c>
      <c r="D240" s="14"/>
      <c r="E240" s="9">
        <f t="shared" si="12"/>
        <v>150</v>
      </c>
      <c r="F240" s="89">
        <f t="shared" si="13"/>
        <v>100</v>
      </c>
      <c r="G240" s="14">
        <v>150</v>
      </c>
      <c r="H240" s="155">
        <f t="shared" si="14"/>
        <v>150</v>
      </c>
      <c r="I240" s="14">
        <v>0</v>
      </c>
      <c r="J240" s="14">
        <v>0</v>
      </c>
      <c r="K240" s="188">
        <f t="shared" si="15"/>
        <v>0</v>
      </c>
      <c r="L240" s="10"/>
    </row>
    <row r="241" spans="1:12" ht="38.25" customHeight="1">
      <c r="A241" s="121">
        <v>27</v>
      </c>
      <c r="B241" s="102" t="s">
        <v>147</v>
      </c>
      <c r="C241" s="14">
        <v>450</v>
      </c>
      <c r="D241" s="14"/>
      <c r="E241" s="9">
        <f t="shared" si="12"/>
        <v>450</v>
      </c>
      <c r="F241" s="89">
        <f t="shared" si="13"/>
        <v>100</v>
      </c>
      <c r="G241" s="14">
        <v>450</v>
      </c>
      <c r="H241" s="155">
        <f t="shared" si="14"/>
        <v>450</v>
      </c>
      <c r="I241" s="14">
        <v>109.5</v>
      </c>
      <c r="J241" s="14">
        <v>109.5</v>
      </c>
      <c r="K241" s="188">
        <f t="shared" si="15"/>
        <v>-109.5</v>
      </c>
      <c r="L241" s="10"/>
    </row>
    <row r="242" spans="1:12" ht="22.5" customHeight="1">
      <c r="A242" s="121">
        <v>28</v>
      </c>
      <c r="B242" s="102" t="s">
        <v>146</v>
      </c>
      <c r="C242" s="14">
        <v>250</v>
      </c>
      <c r="D242" s="14"/>
      <c r="E242" s="9">
        <f t="shared" si="12"/>
        <v>250</v>
      </c>
      <c r="F242" s="89">
        <f t="shared" si="13"/>
        <v>100</v>
      </c>
      <c r="G242" s="14">
        <v>250</v>
      </c>
      <c r="H242" s="155">
        <f t="shared" si="14"/>
        <v>250</v>
      </c>
      <c r="I242" s="14">
        <v>75</v>
      </c>
      <c r="J242" s="14">
        <v>75</v>
      </c>
      <c r="K242" s="188">
        <f t="shared" si="15"/>
        <v>-75</v>
      </c>
      <c r="L242" s="10"/>
    </row>
    <row r="243" spans="1:12" ht="22.5" customHeight="1">
      <c r="A243" s="122">
        <v>29</v>
      </c>
      <c r="B243" s="95" t="s">
        <v>566</v>
      </c>
      <c r="C243" s="14">
        <v>300</v>
      </c>
      <c r="D243" s="14"/>
      <c r="E243" s="9">
        <f t="shared" si="12"/>
        <v>300</v>
      </c>
      <c r="F243" s="89">
        <f t="shared" si="13"/>
        <v>100</v>
      </c>
      <c r="G243" s="14">
        <v>300</v>
      </c>
      <c r="H243" s="155">
        <f t="shared" si="14"/>
        <v>300</v>
      </c>
      <c r="I243" s="14">
        <v>200</v>
      </c>
      <c r="J243" s="14">
        <v>200</v>
      </c>
      <c r="K243" s="188">
        <f t="shared" si="15"/>
        <v>-200</v>
      </c>
      <c r="L243" s="10"/>
    </row>
    <row r="244" spans="1:12" ht="33">
      <c r="A244" s="123">
        <v>30</v>
      </c>
      <c r="B244" s="102" t="s">
        <v>565</v>
      </c>
      <c r="C244" s="14">
        <v>100</v>
      </c>
      <c r="D244" s="14"/>
      <c r="E244" s="9">
        <f t="shared" si="12"/>
        <v>100</v>
      </c>
      <c r="F244" s="89">
        <f t="shared" si="13"/>
        <v>100</v>
      </c>
      <c r="G244" s="14">
        <v>100</v>
      </c>
      <c r="H244" s="155">
        <f t="shared" si="14"/>
        <v>100</v>
      </c>
      <c r="I244" s="14">
        <v>0</v>
      </c>
      <c r="J244" s="14">
        <v>0</v>
      </c>
      <c r="K244" s="188">
        <f t="shared" si="15"/>
        <v>0</v>
      </c>
      <c r="L244" s="10"/>
    </row>
    <row r="245" spans="1:12" ht="21" customHeight="1">
      <c r="A245" s="123">
        <v>31</v>
      </c>
      <c r="B245" s="102" t="s">
        <v>129</v>
      </c>
      <c r="C245" s="14">
        <v>100</v>
      </c>
      <c r="D245" s="14"/>
      <c r="E245" s="9">
        <f t="shared" si="12"/>
        <v>100</v>
      </c>
      <c r="F245" s="89">
        <f t="shared" si="13"/>
        <v>100</v>
      </c>
      <c r="G245" s="14">
        <v>0</v>
      </c>
      <c r="H245" s="155">
        <f t="shared" si="14"/>
        <v>0</v>
      </c>
      <c r="I245" s="14">
        <v>0</v>
      </c>
      <c r="J245" s="14">
        <v>0</v>
      </c>
      <c r="K245" s="188">
        <f t="shared" si="15"/>
        <v>0</v>
      </c>
      <c r="L245" s="10"/>
    </row>
    <row r="246" spans="1:12" ht="33" customHeight="1">
      <c r="A246" s="123">
        <v>32</v>
      </c>
      <c r="B246" s="102" t="s">
        <v>391</v>
      </c>
      <c r="C246" s="14">
        <v>210</v>
      </c>
      <c r="D246" s="14"/>
      <c r="E246" s="9">
        <f t="shared" si="12"/>
        <v>210</v>
      </c>
      <c r="F246" s="89">
        <f t="shared" si="13"/>
        <v>100</v>
      </c>
      <c r="G246" s="14">
        <v>210</v>
      </c>
      <c r="H246" s="155">
        <f t="shared" si="14"/>
        <v>210</v>
      </c>
      <c r="I246" s="14">
        <v>210</v>
      </c>
      <c r="J246" s="14">
        <v>210</v>
      </c>
      <c r="K246" s="188">
        <f t="shared" si="15"/>
        <v>-210</v>
      </c>
      <c r="L246" s="10"/>
    </row>
    <row r="247" spans="1:12" ht="35.25" customHeight="1">
      <c r="A247" s="123">
        <v>33</v>
      </c>
      <c r="B247" s="102" t="s">
        <v>390</v>
      </c>
      <c r="C247" s="14">
        <v>740</v>
      </c>
      <c r="D247" s="14"/>
      <c r="E247" s="9">
        <f t="shared" si="12"/>
        <v>740</v>
      </c>
      <c r="F247" s="89">
        <f t="shared" si="13"/>
        <v>100</v>
      </c>
      <c r="G247" s="14">
        <v>740</v>
      </c>
      <c r="H247" s="155">
        <f t="shared" si="14"/>
        <v>740</v>
      </c>
      <c r="I247" s="14">
        <v>667.96</v>
      </c>
      <c r="J247" s="14">
        <v>665.569</v>
      </c>
      <c r="K247" s="188">
        <f t="shared" si="15"/>
        <v>-667.96</v>
      </c>
      <c r="L247" s="10"/>
    </row>
    <row r="248" spans="1:12" ht="21.75" customHeight="1">
      <c r="A248" s="123">
        <v>34</v>
      </c>
      <c r="B248" s="124" t="s">
        <v>473</v>
      </c>
      <c r="C248" s="89">
        <v>100</v>
      </c>
      <c r="D248" s="89"/>
      <c r="E248" s="9">
        <f t="shared" si="12"/>
        <v>100</v>
      </c>
      <c r="F248" s="89">
        <f t="shared" si="13"/>
        <v>100</v>
      </c>
      <c r="G248" s="89">
        <v>100</v>
      </c>
      <c r="H248" s="155">
        <f t="shared" si="14"/>
        <v>100</v>
      </c>
      <c r="I248" s="89">
        <v>54.55</v>
      </c>
      <c r="J248" s="89">
        <v>0</v>
      </c>
      <c r="K248" s="188">
        <f t="shared" si="15"/>
        <v>-54.55</v>
      </c>
      <c r="L248" s="10"/>
    </row>
    <row r="249" spans="1:12" ht="35.25" customHeight="1">
      <c r="A249" s="123">
        <v>35</v>
      </c>
      <c r="B249" s="99" t="s">
        <v>474</v>
      </c>
      <c r="C249" s="89">
        <v>100</v>
      </c>
      <c r="D249" s="89"/>
      <c r="E249" s="9">
        <f t="shared" si="12"/>
        <v>100</v>
      </c>
      <c r="F249" s="89">
        <f t="shared" si="13"/>
        <v>100</v>
      </c>
      <c r="G249" s="89">
        <v>100</v>
      </c>
      <c r="H249" s="155">
        <f t="shared" si="14"/>
        <v>100</v>
      </c>
      <c r="I249" s="89">
        <v>60</v>
      </c>
      <c r="J249" s="89">
        <v>60</v>
      </c>
      <c r="K249" s="188">
        <f t="shared" si="15"/>
        <v>-60</v>
      </c>
      <c r="L249" s="10"/>
    </row>
    <row r="250" spans="1:12" ht="21" customHeight="1">
      <c r="A250" s="125"/>
      <c r="B250" s="115" t="s">
        <v>18</v>
      </c>
      <c r="C250" s="11">
        <v>7854.5</v>
      </c>
      <c r="D250" s="11">
        <f>SUM(D251:D272)</f>
        <v>0</v>
      </c>
      <c r="E250" s="11">
        <f t="shared" si="12"/>
        <v>7854.5</v>
      </c>
      <c r="F250" s="155">
        <f t="shared" si="13"/>
        <v>100</v>
      </c>
      <c r="G250" s="11">
        <f>SUM(G251:G272)</f>
        <v>7854.36</v>
      </c>
      <c r="H250" s="155">
        <f t="shared" si="14"/>
        <v>7854.36</v>
      </c>
      <c r="I250" s="11">
        <f>SUM(I251:I272)</f>
        <v>3710.5512</v>
      </c>
      <c r="J250" s="11">
        <f>SUM(J251:J272)</f>
        <v>899.382</v>
      </c>
      <c r="K250" s="188">
        <f t="shared" si="15"/>
        <v>-3710.5512</v>
      </c>
      <c r="L250" s="10"/>
    </row>
    <row r="251" spans="1:12" ht="36.75" customHeight="1">
      <c r="A251" s="94">
        <v>1</v>
      </c>
      <c r="B251" s="102" t="s">
        <v>148</v>
      </c>
      <c r="C251" s="14">
        <v>150</v>
      </c>
      <c r="D251" s="14"/>
      <c r="E251" s="9">
        <f t="shared" si="12"/>
        <v>150</v>
      </c>
      <c r="F251" s="89">
        <f t="shared" si="13"/>
        <v>100</v>
      </c>
      <c r="G251" s="14">
        <v>150</v>
      </c>
      <c r="H251" s="155">
        <f t="shared" si="14"/>
        <v>150</v>
      </c>
      <c r="I251" s="14">
        <v>150</v>
      </c>
      <c r="J251" s="14">
        <v>150</v>
      </c>
      <c r="K251" s="188">
        <f t="shared" si="15"/>
        <v>-150</v>
      </c>
      <c r="L251" s="10"/>
    </row>
    <row r="252" spans="1:12" ht="23.25" customHeight="1">
      <c r="A252" s="94">
        <v>2</v>
      </c>
      <c r="B252" s="102" t="s">
        <v>149</v>
      </c>
      <c r="C252" s="14">
        <v>100</v>
      </c>
      <c r="D252" s="14"/>
      <c r="E252" s="9">
        <f t="shared" si="12"/>
        <v>100</v>
      </c>
      <c r="F252" s="89">
        <f t="shared" si="13"/>
        <v>100</v>
      </c>
      <c r="G252" s="14">
        <v>100</v>
      </c>
      <c r="H252" s="155">
        <f t="shared" si="14"/>
        <v>100</v>
      </c>
      <c r="I252" s="14">
        <v>0</v>
      </c>
      <c r="J252" s="14">
        <v>0</v>
      </c>
      <c r="K252" s="188">
        <f t="shared" si="15"/>
        <v>0</v>
      </c>
      <c r="L252" s="10"/>
    </row>
    <row r="253" spans="1:12" ht="53.25" customHeight="1">
      <c r="A253" s="94">
        <v>3</v>
      </c>
      <c r="B253" s="102" t="s">
        <v>150</v>
      </c>
      <c r="C253" s="14">
        <v>150</v>
      </c>
      <c r="D253" s="14"/>
      <c r="E253" s="9">
        <f t="shared" si="12"/>
        <v>150</v>
      </c>
      <c r="F253" s="89">
        <f t="shared" si="13"/>
        <v>100</v>
      </c>
      <c r="G253" s="14">
        <v>150</v>
      </c>
      <c r="H253" s="155">
        <f t="shared" si="14"/>
        <v>150</v>
      </c>
      <c r="I253" s="14">
        <v>150</v>
      </c>
      <c r="J253" s="14">
        <v>0</v>
      </c>
      <c r="K253" s="188">
        <f t="shared" si="15"/>
        <v>-150</v>
      </c>
      <c r="L253" s="10"/>
    </row>
    <row r="254" spans="1:12" ht="51" customHeight="1">
      <c r="A254" s="94">
        <v>4</v>
      </c>
      <c r="B254" s="102" t="s">
        <v>151</v>
      </c>
      <c r="C254" s="14">
        <v>120</v>
      </c>
      <c r="D254" s="14"/>
      <c r="E254" s="9">
        <f t="shared" si="12"/>
        <v>120</v>
      </c>
      <c r="F254" s="89">
        <f t="shared" si="13"/>
        <v>100</v>
      </c>
      <c r="G254" s="14">
        <v>120</v>
      </c>
      <c r="H254" s="155">
        <f t="shared" si="14"/>
        <v>120</v>
      </c>
      <c r="I254" s="14">
        <v>120</v>
      </c>
      <c r="J254" s="14">
        <v>80.4</v>
      </c>
      <c r="K254" s="188">
        <f t="shared" si="15"/>
        <v>-120</v>
      </c>
      <c r="L254" s="10"/>
    </row>
    <row r="255" spans="1:12" ht="45.75" customHeight="1">
      <c r="A255" s="94">
        <v>5</v>
      </c>
      <c r="B255" s="102" t="s">
        <v>152</v>
      </c>
      <c r="C255" s="14">
        <v>87</v>
      </c>
      <c r="D255" s="14"/>
      <c r="E255" s="9">
        <f t="shared" si="12"/>
        <v>87</v>
      </c>
      <c r="F255" s="89">
        <f t="shared" si="13"/>
        <v>100</v>
      </c>
      <c r="G255" s="14">
        <v>87</v>
      </c>
      <c r="H255" s="155">
        <f t="shared" si="14"/>
        <v>87</v>
      </c>
      <c r="I255" s="14">
        <v>87</v>
      </c>
      <c r="J255" s="14">
        <v>87</v>
      </c>
      <c r="K255" s="188">
        <f t="shared" si="15"/>
        <v>-87</v>
      </c>
      <c r="L255" s="10"/>
    </row>
    <row r="256" spans="1:12" ht="40.5" customHeight="1">
      <c r="A256" s="94">
        <v>6</v>
      </c>
      <c r="B256" s="102" t="s">
        <v>153</v>
      </c>
      <c r="C256" s="14">
        <v>160</v>
      </c>
      <c r="D256" s="14"/>
      <c r="E256" s="9">
        <f t="shared" si="12"/>
        <v>160</v>
      </c>
      <c r="F256" s="89">
        <f t="shared" si="13"/>
        <v>100</v>
      </c>
      <c r="G256" s="14">
        <v>160</v>
      </c>
      <c r="H256" s="155">
        <f t="shared" si="14"/>
        <v>160</v>
      </c>
      <c r="I256" s="14">
        <v>160</v>
      </c>
      <c r="J256" s="14">
        <v>92</v>
      </c>
      <c r="K256" s="188">
        <f t="shared" si="15"/>
        <v>-160</v>
      </c>
      <c r="L256" s="10"/>
    </row>
    <row r="257" spans="1:12" ht="51" customHeight="1">
      <c r="A257" s="94">
        <v>7</v>
      </c>
      <c r="B257" s="102" t="s">
        <v>154</v>
      </c>
      <c r="C257" s="14">
        <v>120</v>
      </c>
      <c r="D257" s="14"/>
      <c r="E257" s="9">
        <f t="shared" si="12"/>
        <v>120</v>
      </c>
      <c r="F257" s="89">
        <f t="shared" si="13"/>
        <v>100</v>
      </c>
      <c r="G257" s="14">
        <v>120</v>
      </c>
      <c r="H257" s="155">
        <f t="shared" si="14"/>
        <v>120</v>
      </c>
      <c r="I257" s="14">
        <v>23.7</v>
      </c>
      <c r="J257" s="14">
        <v>0</v>
      </c>
      <c r="K257" s="188">
        <f t="shared" si="15"/>
        <v>-23.7</v>
      </c>
      <c r="L257" s="10"/>
    </row>
    <row r="258" spans="1:12" ht="50.25" customHeight="1">
      <c r="A258" s="94">
        <v>8</v>
      </c>
      <c r="B258" s="102" t="s">
        <v>155</v>
      </c>
      <c r="C258" s="14">
        <v>130</v>
      </c>
      <c r="D258" s="14"/>
      <c r="E258" s="9">
        <f t="shared" si="12"/>
        <v>130</v>
      </c>
      <c r="F258" s="89">
        <f t="shared" si="13"/>
        <v>100</v>
      </c>
      <c r="G258" s="14">
        <v>130</v>
      </c>
      <c r="H258" s="155">
        <f t="shared" si="14"/>
        <v>130</v>
      </c>
      <c r="I258" s="14">
        <v>28.2</v>
      </c>
      <c r="J258" s="14">
        <v>28.2</v>
      </c>
      <c r="K258" s="188">
        <f t="shared" si="15"/>
        <v>-28.2</v>
      </c>
      <c r="L258" s="10"/>
    </row>
    <row r="259" spans="1:12" ht="38.25" customHeight="1">
      <c r="A259" s="94">
        <v>9</v>
      </c>
      <c r="B259" s="102" t="s">
        <v>157</v>
      </c>
      <c r="C259" s="14">
        <v>240</v>
      </c>
      <c r="D259" s="14"/>
      <c r="E259" s="9">
        <f t="shared" si="12"/>
        <v>240</v>
      </c>
      <c r="F259" s="89">
        <f t="shared" si="13"/>
        <v>100</v>
      </c>
      <c r="G259" s="14">
        <v>240</v>
      </c>
      <c r="H259" s="155">
        <f t="shared" si="14"/>
        <v>240</v>
      </c>
      <c r="I259" s="14">
        <v>0</v>
      </c>
      <c r="J259" s="14">
        <v>0</v>
      </c>
      <c r="K259" s="188">
        <f t="shared" si="15"/>
        <v>0</v>
      </c>
      <c r="L259" s="10"/>
    </row>
    <row r="260" spans="1:12" ht="50.25" customHeight="1">
      <c r="A260" s="94">
        <v>10</v>
      </c>
      <c r="B260" s="102" t="s">
        <v>156</v>
      </c>
      <c r="C260" s="14">
        <v>25</v>
      </c>
      <c r="D260" s="14"/>
      <c r="E260" s="9">
        <f t="shared" si="12"/>
        <v>25</v>
      </c>
      <c r="F260" s="89">
        <f t="shared" si="13"/>
        <v>100</v>
      </c>
      <c r="G260" s="14">
        <v>25</v>
      </c>
      <c r="H260" s="155">
        <f t="shared" si="14"/>
        <v>25</v>
      </c>
      <c r="I260" s="14">
        <v>0</v>
      </c>
      <c r="J260" s="14">
        <v>0</v>
      </c>
      <c r="K260" s="188">
        <f t="shared" si="15"/>
        <v>0</v>
      </c>
      <c r="L260" s="10"/>
    </row>
    <row r="261" spans="1:12" ht="51.75" customHeight="1">
      <c r="A261" s="94">
        <v>11</v>
      </c>
      <c r="B261" s="102" t="s">
        <v>158</v>
      </c>
      <c r="C261" s="14">
        <v>90</v>
      </c>
      <c r="D261" s="14"/>
      <c r="E261" s="9">
        <f t="shared" si="12"/>
        <v>90</v>
      </c>
      <c r="F261" s="89">
        <f t="shared" si="13"/>
        <v>100</v>
      </c>
      <c r="G261" s="14">
        <v>90</v>
      </c>
      <c r="H261" s="155">
        <f t="shared" si="14"/>
        <v>90</v>
      </c>
      <c r="I261" s="14">
        <v>0</v>
      </c>
      <c r="J261" s="14">
        <v>0</v>
      </c>
      <c r="K261" s="188">
        <f t="shared" si="15"/>
        <v>0</v>
      </c>
      <c r="L261" s="10"/>
    </row>
    <row r="262" spans="1:12" ht="38.25" customHeight="1">
      <c r="A262" s="94">
        <v>12</v>
      </c>
      <c r="B262" s="102" t="s">
        <v>159</v>
      </c>
      <c r="C262" s="14">
        <v>135</v>
      </c>
      <c r="D262" s="14"/>
      <c r="E262" s="9">
        <f t="shared" si="12"/>
        <v>135</v>
      </c>
      <c r="F262" s="89">
        <f t="shared" si="13"/>
        <v>100</v>
      </c>
      <c r="G262" s="14">
        <v>135</v>
      </c>
      <c r="H262" s="155">
        <f t="shared" si="14"/>
        <v>135</v>
      </c>
      <c r="I262" s="14">
        <v>135</v>
      </c>
      <c r="J262" s="14">
        <v>0</v>
      </c>
      <c r="K262" s="188">
        <f t="shared" si="15"/>
        <v>-135</v>
      </c>
      <c r="L262" s="10"/>
    </row>
    <row r="263" spans="1:12" ht="23.25" customHeight="1">
      <c r="A263" s="98">
        <v>13</v>
      </c>
      <c r="B263" s="99" t="s">
        <v>160</v>
      </c>
      <c r="C263" s="14">
        <v>1800</v>
      </c>
      <c r="D263" s="14"/>
      <c r="E263" s="9">
        <f aca="true" t="shared" si="16" ref="E263:E326">C263-D263</f>
        <v>1800</v>
      </c>
      <c r="F263" s="89">
        <f aca="true" t="shared" si="17" ref="F263:F326">100-D263/C263*100</f>
        <v>100</v>
      </c>
      <c r="G263" s="14">
        <v>1800</v>
      </c>
      <c r="H263" s="155">
        <f aca="true" t="shared" si="18" ref="H263:H326">G263-D263</f>
        <v>1800</v>
      </c>
      <c r="I263" s="14">
        <v>1751.1</v>
      </c>
      <c r="J263" s="14">
        <v>0</v>
      </c>
      <c r="K263" s="188">
        <f t="shared" si="15"/>
        <v>-1751.1</v>
      </c>
      <c r="L263" s="10"/>
    </row>
    <row r="264" spans="1:12" ht="33" customHeight="1">
      <c r="A264" s="94">
        <v>14</v>
      </c>
      <c r="B264" s="102" t="s">
        <v>161</v>
      </c>
      <c r="C264" s="14">
        <v>940.9</v>
      </c>
      <c r="D264" s="14"/>
      <c r="E264" s="9">
        <f t="shared" si="16"/>
        <v>940.9</v>
      </c>
      <c r="F264" s="89">
        <f t="shared" si="17"/>
        <v>100</v>
      </c>
      <c r="G264" s="14">
        <v>940.9</v>
      </c>
      <c r="H264" s="155">
        <f t="shared" si="18"/>
        <v>940.9</v>
      </c>
      <c r="I264" s="14">
        <v>0</v>
      </c>
      <c r="J264" s="14">
        <v>0</v>
      </c>
      <c r="K264" s="188">
        <f aca="true" t="shared" si="19" ref="K264:K327">D264-I264</f>
        <v>0</v>
      </c>
      <c r="L264" s="10"/>
    </row>
    <row r="265" spans="1:12" ht="37.5" customHeight="1">
      <c r="A265" s="94">
        <v>15</v>
      </c>
      <c r="B265" s="102" t="s">
        <v>162</v>
      </c>
      <c r="C265" s="14">
        <v>100</v>
      </c>
      <c r="D265" s="14"/>
      <c r="E265" s="9">
        <f t="shared" si="16"/>
        <v>100</v>
      </c>
      <c r="F265" s="89">
        <f t="shared" si="17"/>
        <v>100</v>
      </c>
      <c r="G265" s="14">
        <v>100</v>
      </c>
      <c r="H265" s="155">
        <f t="shared" si="18"/>
        <v>100</v>
      </c>
      <c r="I265" s="14">
        <v>100</v>
      </c>
      <c r="J265" s="14">
        <v>0</v>
      </c>
      <c r="K265" s="188">
        <f t="shared" si="19"/>
        <v>-100</v>
      </c>
      <c r="L265" s="10"/>
    </row>
    <row r="266" spans="1:12" ht="37.5" customHeight="1">
      <c r="A266" s="94">
        <v>16</v>
      </c>
      <c r="B266" s="102" t="s">
        <v>164</v>
      </c>
      <c r="C266" s="14">
        <v>60</v>
      </c>
      <c r="D266" s="14"/>
      <c r="E266" s="9">
        <f t="shared" si="16"/>
        <v>60</v>
      </c>
      <c r="F266" s="89">
        <f t="shared" si="17"/>
        <v>100</v>
      </c>
      <c r="G266" s="14">
        <v>60</v>
      </c>
      <c r="H266" s="155">
        <f t="shared" si="18"/>
        <v>60</v>
      </c>
      <c r="I266" s="14">
        <v>0</v>
      </c>
      <c r="J266" s="14">
        <v>0</v>
      </c>
      <c r="K266" s="188">
        <f t="shared" si="19"/>
        <v>0</v>
      </c>
      <c r="L266" s="10"/>
    </row>
    <row r="267" spans="1:12" ht="50.25">
      <c r="A267" s="94">
        <v>17</v>
      </c>
      <c r="B267" s="102" t="s">
        <v>165</v>
      </c>
      <c r="C267" s="14">
        <v>82.5</v>
      </c>
      <c r="D267" s="14"/>
      <c r="E267" s="9">
        <f t="shared" si="16"/>
        <v>82.5</v>
      </c>
      <c r="F267" s="89">
        <f t="shared" si="17"/>
        <v>100</v>
      </c>
      <c r="G267" s="14">
        <v>82.5</v>
      </c>
      <c r="H267" s="155">
        <f t="shared" si="18"/>
        <v>82.5</v>
      </c>
      <c r="I267" s="14">
        <v>82.5</v>
      </c>
      <c r="J267" s="14">
        <v>82.5</v>
      </c>
      <c r="K267" s="188">
        <f t="shared" si="19"/>
        <v>-82.5</v>
      </c>
      <c r="L267" s="10"/>
    </row>
    <row r="268" spans="1:12" ht="39.75" customHeight="1">
      <c r="A268" s="94">
        <v>18</v>
      </c>
      <c r="B268" s="102" t="s">
        <v>166</v>
      </c>
      <c r="C268" s="14">
        <v>864.1</v>
      </c>
      <c r="D268" s="14"/>
      <c r="E268" s="9">
        <f t="shared" si="16"/>
        <v>864.1</v>
      </c>
      <c r="F268" s="89">
        <f t="shared" si="17"/>
        <v>100</v>
      </c>
      <c r="G268" s="14">
        <v>864.1</v>
      </c>
      <c r="H268" s="155">
        <f t="shared" si="18"/>
        <v>864.1</v>
      </c>
      <c r="I268" s="14">
        <v>227.6512</v>
      </c>
      <c r="J268" s="14">
        <v>194.282</v>
      </c>
      <c r="K268" s="188">
        <f t="shared" si="19"/>
        <v>-227.6512</v>
      </c>
      <c r="L268" s="10"/>
    </row>
    <row r="269" spans="1:12" ht="33">
      <c r="A269" s="94">
        <v>19</v>
      </c>
      <c r="B269" s="126" t="s">
        <v>167</v>
      </c>
      <c r="C269" s="14">
        <v>400</v>
      </c>
      <c r="D269" s="14"/>
      <c r="E269" s="9">
        <f t="shared" si="16"/>
        <v>400</v>
      </c>
      <c r="F269" s="89">
        <f t="shared" si="17"/>
        <v>100</v>
      </c>
      <c r="G269" s="14">
        <v>400</v>
      </c>
      <c r="H269" s="155">
        <f t="shared" si="18"/>
        <v>400</v>
      </c>
      <c r="I269" s="14">
        <v>0</v>
      </c>
      <c r="J269" s="14">
        <v>0</v>
      </c>
      <c r="K269" s="188">
        <f t="shared" si="19"/>
        <v>0</v>
      </c>
      <c r="L269" s="10"/>
    </row>
    <row r="270" spans="1:12" ht="18">
      <c r="A270" s="94">
        <v>20</v>
      </c>
      <c r="B270" s="102" t="s">
        <v>163</v>
      </c>
      <c r="C270" s="14">
        <v>700</v>
      </c>
      <c r="D270" s="14"/>
      <c r="E270" s="9">
        <f t="shared" si="16"/>
        <v>700</v>
      </c>
      <c r="F270" s="89">
        <f t="shared" si="17"/>
        <v>100</v>
      </c>
      <c r="G270" s="14">
        <v>699.86</v>
      </c>
      <c r="H270" s="155">
        <f t="shared" si="18"/>
        <v>699.86</v>
      </c>
      <c r="I270" s="14">
        <v>495.4</v>
      </c>
      <c r="J270" s="14">
        <v>0</v>
      </c>
      <c r="K270" s="188">
        <f t="shared" si="19"/>
        <v>-495.4</v>
      </c>
      <c r="L270" s="10"/>
    </row>
    <row r="271" spans="1:12" ht="36" customHeight="1">
      <c r="A271" s="94">
        <v>21</v>
      </c>
      <c r="B271" s="102" t="s">
        <v>391</v>
      </c>
      <c r="C271" s="14">
        <v>200</v>
      </c>
      <c r="D271" s="14"/>
      <c r="E271" s="9">
        <f t="shared" si="16"/>
        <v>200</v>
      </c>
      <c r="F271" s="89">
        <f t="shared" si="17"/>
        <v>100</v>
      </c>
      <c r="G271" s="14">
        <v>200</v>
      </c>
      <c r="H271" s="155">
        <f t="shared" si="18"/>
        <v>200</v>
      </c>
      <c r="I271" s="14">
        <v>200</v>
      </c>
      <c r="J271" s="14">
        <v>185</v>
      </c>
      <c r="K271" s="188">
        <f t="shared" si="19"/>
        <v>-200</v>
      </c>
      <c r="L271" s="10"/>
    </row>
    <row r="272" spans="1:12" ht="69" customHeight="1">
      <c r="A272" s="94">
        <v>22</v>
      </c>
      <c r="B272" s="95" t="s">
        <v>526</v>
      </c>
      <c r="C272" s="14">
        <v>1200</v>
      </c>
      <c r="D272" s="14"/>
      <c r="E272" s="9">
        <f t="shared" si="16"/>
        <v>1200</v>
      </c>
      <c r="F272" s="89">
        <f t="shared" si="17"/>
        <v>100</v>
      </c>
      <c r="G272" s="14">
        <v>1200</v>
      </c>
      <c r="H272" s="155">
        <f t="shared" si="18"/>
        <v>1200</v>
      </c>
      <c r="I272" s="14">
        <v>0</v>
      </c>
      <c r="J272" s="14">
        <v>0</v>
      </c>
      <c r="K272" s="188">
        <f t="shared" si="19"/>
        <v>0</v>
      </c>
      <c r="L272" s="10"/>
    </row>
    <row r="273" spans="1:12" ht="17.25">
      <c r="A273" s="94"/>
      <c r="B273" s="120" t="s">
        <v>19</v>
      </c>
      <c r="C273" s="16">
        <v>7854.5</v>
      </c>
      <c r="D273" s="16">
        <f>SUM(D274:D302)</f>
        <v>0</v>
      </c>
      <c r="E273" s="11">
        <f t="shared" si="16"/>
        <v>7854.5</v>
      </c>
      <c r="F273" s="155">
        <f t="shared" si="17"/>
        <v>100</v>
      </c>
      <c r="G273" s="16">
        <f>SUM(G274:G302)</f>
        <v>7853.98</v>
      </c>
      <c r="H273" s="155">
        <f t="shared" si="18"/>
        <v>7853.98</v>
      </c>
      <c r="I273" s="16">
        <f>SUM(I274:I302)</f>
        <v>4827.278</v>
      </c>
      <c r="J273" s="16">
        <f>SUM(J274:J302)</f>
        <v>2405.748</v>
      </c>
      <c r="K273" s="188">
        <f t="shared" si="19"/>
        <v>-4827.278</v>
      </c>
      <c r="L273" s="16"/>
    </row>
    <row r="274" spans="1:12" ht="33" customHeight="1">
      <c r="A274" s="94">
        <v>1</v>
      </c>
      <c r="B274" s="102" t="s">
        <v>168</v>
      </c>
      <c r="C274" s="40">
        <v>400</v>
      </c>
      <c r="D274" s="40"/>
      <c r="E274" s="9">
        <f t="shared" si="16"/>
        <v>400</v>
      </c>
      <c r="F274" s="89">
        <f t="shared" si="17"/>
        <v>100</v>
      </c>
      <c r="G274" s="40">
        <v>400</v>
      </c>
      <c r="H274" s="155">
        <f t="shared" si="18"/>
        <v>400</v>
      </c>
      <c r="I274" s="40">
        <v>0</v>
      </c>
      <c r="J274" s="40">
        <v>0</v>
      </c>
      <c r="K274" s="188">
        <f t="shared" si="19"/>
        <v>0</v>
      </c>
      <c r="L274" s="10"/>
    </row>
    <row r="275" spans="1:12" ht="50.25">
      <c r="A275" s="94">
        <f>A274+1</f>
        <v>2</v>
      </c>
      <c r="B275" s="127" t="s">
        <v>169</v>
      </c>
      <c r="C275" s="40">
        <v>100</v>
      </c>
      <c r="D275" s="40"/>
      <c r="E275" s="9">
        <f t="shared" si="16"/>
        <v>100</v>
      </c>
      <c r="F275" s="89">
        <f t="shared" si="17"/>
        <v>100</v>
      </c>
      <c r="G275" s="40">
        <v>99.48</v>
      </c>
      <c r="H275" s="155">
        <f t="shared" si="18"/>
        <v>99.48</v>
      </c>
      <c r="I275" s="40">
        <v>43.7</v>
      </c>
      <c r="J275" s="40">
        <v>0</v>
      </c>
      <c r="K275" s="188">
        <f t="shared" si="19"/>
        <v>-43.7</v>
      </c>
      <c r="L275" s="10"/>
    </row>
    <row r="276" spans="1:12" ht="33">
      <c r="A276" s="94">
        <f aca="true" t="shared" si="20" ref="A276:A296">A275+1</f>
        <v>3</v>
      </c>
      <c r="B276" s="102" t="s">
        <v>170</v>
      </c>
      <c r="C276" s="40">
        <v>43.4</v>
      </c>
      <c r="D276" s="40"/>
      <c r="E276" s="9">
        <f t="shared" si="16"/>
        <v>43.4</v>
      </c>
      <c r="F276" s="89">
        <f t="shared" si="17"/>
        <v>100</v>
      </c>
      <c r="G276" s="40">
        <v>43.4</v>
      </c>
      <c r="H276" s="155">
        <f t="shared" si="18"/>
        <v>43.4</v>
      </c>
      <c r="I276" s="40">
        <v>43.4</v>
      </c>
      <c r="J276" s="40">
        <v>43.4</v>
      </c>
      <c r="K276" s="188">
        <f t="shared" si="19"/>
        <v>-43.4</v>
      </c>
      <c r="L276" s="10"/>
    </row>
    <row r="277" spans="1:12" ht="50.25">
      <c r="A277" s="94">
        <f t="shared" si="20"/>
        <v>4</v>
      </c>
      <c r="B277" s="102" t="s">
        <v>171</v>
      </c>
      <c r="C277" s="40">
        <v>120</v>
      </c>
      <c r="D277" s="40"/>
      <c r="E277" s="9">
        <f t="shared" si="16"/>
        <v>120</v>
      </c>
      <c r="F277" s="89">
        <f t="shared" si="17"/>
        <v>100</v>
      </c>
      <c r="G277" s="40">
        <v>120</v>
      </c>
      <c r="H277" s="155">
        <f t="shared" si="18"/>
        <v>120</v>
      </c>
      <c r="I277" s="40">
        <v>0</v>
      </c>
      <c r="J277" s="40">
        <v>0</v>
      </c>
      <c r="K277" s="188">
        <f t="shared" si="19"/>
        <v>0</v>
      </c>
      <c r="L277" s="10"/>
    </row>
    <row r="278" spans="1:12" ht="42" customHeight="1">
      <c r="A278" s="94">
        <f t="shared" si="20"/>
        <v>5</v>
      </c>
      <c r="B278" s="102" t="s">
        <v>172</v>
      </c>
      <c r="C278" s="40">
        <v>100</v>
      </c>
      <c r="D278" s="40"/>
      <c r="E278" s="9">
        <f t="shared" si="16"/>
        <v>100</v>
      </c>
      <c r="F278" s="89">
        <f t="shared" si="17"/>
        <v>100</v>
      </c>
      <c r="G278" s="40">
        <v>100</v>
      </c>
      <c r="H278" s="155">
        <f t="shared" si="18"/>
        <v>100</v>
      </c>
      <c r="I278" s="40">
        <v>100</v>
      </c>
      <c r="J278" s="40">
        <v>31.176</v>
      </c>
      <c r="K278" s="188">
        <f t="shared" si="19"/>
        <v>-100</v>
      </c>
      <c r="L278" s="10"/>
    </row>
    <row r="279" spans="1:12" ht="35.25" customHeight="1">
      <c r="A279" s="94">
        <f t="shared" si="20"/>
        <v>6</v>
      </c>
      <c r="B279" s="102" t="s">
        <v>173</v>
      </c>
      <c r="C279" s="41">
        <v>150</v>
      </c>
      <c r="D279" s="41"/>
      <c r="E279" s="9">
        <f t="shared" si="16"/>
        <v>150</v>
      </c>
      <c r="F279" s="89">
        <f t="shared" si="17"/>
        <v>100</v>
      </c>
      <c r="G279" s="41">
        <v>150</v>
      </c>
      <c r="H279" s="155">
        <f t="shared" si="18"/>
        <v>150</v>
      </c>
      <c r="I279" s="41">
        <v>150</v>
      </c>
      <c r="J279" s="41">
        <v>150</v>
      </c>
      <c r="K279" s="188">
        <f t="shared" si="19"/>
        <v>-150</v>
      </c>
      <c r="L279" s="10"/>
    </row>
    <row r="280" spans="1:12" ht="33.75" customHeight="1">
      <c r="A280" s="94">
        <f t="shared" si="20"/>
        <v>7</v>
      </c>
      <c r="B280" s="102" t="s">
        <v>174</v>
      </c>
      <c r="C280" s="40">
        <v>399.1</v>
      </c>
      <c r="D280" s="40"/>
      <c r="E280" s="9">
        <f t="shared" si="16"/>
        <v>399.1</v>
      </c>
      <c r="F280" s="89">
        <f t="shared" si="17"/>
        <v>100</v>
      </c>
      <c r="G280" s="40">
        <v>399.1</v>
      </c>
      <c r="H280" s="155">
        <f t="shared" si="18"/>
        <v>399.1</v>
      </c>
      <c r="I280" s="40">
        <v>0</v>
      </c>
      <c r="J280" s="40">
        <v>0</v>
      </c>
      <c r="K280" s="188">
        <f t="shared" si="19"/>
        <v>0</v>
      </c>
      <c r="L280" s="10"/>
    </row>
    <row r="281" spans="1:12" ht="46.5" customHeight="1">
      <c r="A281" s="94">
        <f t="shared" si="20"/>
        <v>8</v>
      </c>
      <c r="B281" s="102" t="s">
        <v>176</v>
      </c>
      <c r="C281" s="40">
        <v>208.2</v>
      </c>
      <c r="D281" s="40"/>
      <c r="E281" s="9">
        <f t="shared" si="16"/>
        <v>208.2</v>
      </c>
      <c r="F281" s="89">
        <f t="shared" si="17"/>
        <v>100</v>
      </c>
      <c r="G281" s="40">
        <v>208.2</v>
      </c>
      <c r="H281" s="155">
        <f t="shared" si="18"/>
        <v>208.2</v>
      </c>
      <c r="I281" s="40">
        <v>0</v>
      </c>
      <c r="J281" s="40">
        <v>0</v>
      </c>
      <c r="K281" s="188">
        <f t="shared" si="19"/>
        <v>0</v>
      </c>
      <c r="L281" s="10"/>
    </row>
    <row r="282" spans="1:12" ht="33" customHeight="1">
      <c r="A282" s="94">
        <f t="shared" si="20"/>
        <v>9</v>
      </c>
      <c r="B282" s="102" t="s">
        <v>175</v>
      </c>
      <c r="C282" s="40">
        <v>280</v>
      </c>
      <c r="D282" s="40"/>
      <c r="E282" s="9">
        <f t="shared" si="16"/>
        <v>280</v>
      </c>
      <c r="F282" s="89">
        <f t="shared" si="17"/>
        <v>100</v>
      </c>
      <c r="G282" s="40">
        <v>280</v>
      </c>
      <c r="H282" s="155">
        <f t="shared" si="18"/>
        <v>280</v>
      </c>
      <c r="I282" s="40">
        <v>280</v>
      </c>
      <c r="J282" s="40">
        <v>0</v>
      </c>
      <c r="K282" s="188">
        <f t="shared" si="19"/>
        <v>-280</v>
      </c>
      <c r="L282" s="10"/>
    </row>
    <row r="283" spans="1:12" ht="51" customHeight="1">
      <c r="A283" s="98">
        <f t="shared" si="20"/>
        <v>10</v>
      </c>
      <c r="B283" s="101" t="s">
        <v>177</v>
      </c>
      <c r="C283" s="30">
        <v>172.6</v>
      </c>
      <c r="D283" s="30"/>
      <c r="E283" s="9">
        <f t="shared" si="16"/>
        <v>172.6</v>
      </c>
      <c r="F283" s="89">
        <f t="shared" si="17"/>
        <v>100</v>
      </c>
      <c r="G283" s="30">
        <v>172.6</v>
      </c>
      <c r="H283" s="155">
        <f t="shared" si="18"/>
        <v>172.6</v>
      </c>
      <c r="I283" s="30">
        <v>172.6</v>
      </c>
      <c r="J283" s="30">
        <v>172.6</v>
      </c>
      <c r="K283" s="188">
        <f t="shared" si="19"/>
        <v>-172.6</v>
      </c>
      <c r="L283" s="10"/>
    </row>
    <row r="284" spans="1:12" ht="18">
      <c r="A284" s="94">
        <v>11</v>
      </c>
      <c r="B284" s="102" t="s">
        <v>181</v>
      </c>
      <c r="C284" s="40">
        <v>130</v>
      </c>
      <c r="D284" s="40"/>
      <c r="E284" s="9">
        <f t="shared" si="16"/>
        <v>130</v>
      </c>
      <c r="F284" s="89">
        <f t="shared" si="17"/>
        <v>100</v>
      </c>
      <c r="G284" s="40">
        <v>130</v>
      </c>
      <c r="H284" s="155">
        <f t="shared" si="18"/>
        <v>130</v>
      </c>
      <c r="I284" s="40">
        <v>130</v>
      </c>
      <c r="J284" s="40">
        <v>130</v>
      </c>
      <c r="K284" s="188">
        <f t="shared" si="19"/>
        <v>-130</v>
      </c>
      <c r="L284" s="10"/>
    </row>
    <row r="285" spans="1:12" ht="50.25">
      <c r="A285" s="94">
        <f t="shared" si="20"/>
        <v>12</v>
      </c>
      <c r="B285" s="102" t="s">
        <v>178</v>
      </c>
      <c r="C285" s="40">
        <v>341.8</v>
      </c>
      <c r="D285" s="40"/>
      <c r="E285" s="9">
        <f t="shared" si="16"/>
        <v>341.8</v>
      </c>
      <c r="F285" s="89">
        <f t="shared" si="17"/>
        <v>100</v>
      </c>
      <c r="G285" s="40">
        <v>341.8</v>
      </c>
      <c r="H285" s="155">
        <f t="shared" si="18"/>
        <v>341.8</v>
      </c>
      <c r="I285" s="40">
        <v>341.8</v>
      </c>
      <c r="J285" s="40">
        <v>0</v>
      </c>
      <c r="K285" s="188">
        <f t="shared" si="19"/>
        <v>-341.8</v>
      </c>
      <c r="L285" s="10"/>
    </row>
    <row r="286" spans="1:12" ht="33">
      <c r="A286" s="94">
        <f t="shared" si="20"/>
        <v>13</v>
      </c>
      <c r="B286" s="102" t="s">
        <v>179</v>
      </c>
      <c r="C286" s="42">
        <v>120.6</v>
      </c>
      <c r="D286" s="42"/>
      <c r="E286" s="9">
        <f t="shared" si="16"/>
        <v>120.6</v>
      </c>
      <c r="F286" s="89">
        <f t="shared" si="17"/>
        <v>100</v>
      </c>
      <c r="G286" s="42">
        <v>120.6</v>
      </c>
      <c r="H286" s="155">
        <f t="shared" si="18"/>
        <v>120.6</v>
      </c>
      <c r="I286" s="42">
        <v>23.562</v>
      </c>
      <c r="J286" s="42">
        <v>23.562</v>
      </c>
      <c r="K286" s="188">
        <f t="shared" si="19"/>
        <v>-23.562</v>
      </c>
      <c r="L286" s="10"/>
    </row>
    <row r="287" spans="1:12" ht="33" customHeight="1">
      <c r="A287" s="94">
        <f t="shared" si="20"/>
        <v>14</v>
      </c>
      <c r="B287" s="127" t="s">
        <v>180</v>
      </c>
      <c r="C287" s="42">
        <v>100</v>
      </c>
      <c r="D287" s="42"/>
      <c r="E287" s="9">
        <f t="shared" si="16"/>
        <v>100</v>
      </c>
      <c r="F287" s="89">
        <f t="shared" si="17"/>
        <v>100</v>
      </c>
      <c r="G287" s="42">
        <v>100</v>
      </c>
      <c r="H287" s="155">
        <f t="shared" si="18"/>
        <v>100</v>
      </c>
      <c r="I287" s="42">
        <v>100</v>
      </c>
      <c r="J287" s="42">
        <v>100</v>
      </c>
      <c r="K287" s="188">
        <f t="shared" si="19"/>
        <v>-100</v>
      </c>
      <c r="L287" s="10"/>
    </row>
    <row r="288" spans="1:12" ht="33" customHeight="1">
      <c r="A288" s="94">
        <f t="shared" si="20"/>
        <v>15</v>
      </c>
      <c r="B288" s="102" t="s">
        <v>182</v>
      </c>
      <c r="C288" s="43">
        <v>300</v>
      </c>
      <c r="D288" s="43"/>
      <c r="E288" s="9">
        <f t="shared" si="16"/>
        <v>300</v>
      </c>
      <c r="F288" s="89">
        <f t="shared" si="17"/>
        <v>100</v>
      </c>
      <c r="G288" s="43">
        <v>300</v>
      </c>
      <c r="H288" s="155">
        <f t="shared" si="18"/>
        <v>300</v>
      </c>
      <c r="I288" s="43">
        <v>300</v>
      </c>
      <c r="J288" s="43">
        <v>0</v>
      </c>
      <c r="K288" s="188">
        <f t="shared" si="19"/>
        <v>-300</v>
      </c>
      <c r="L288" s="10"/>
    </row>
    <row r="289" spans="1:12" ht="51" customHeight="1">
      <c r="A289" s="94">
        <f t="shared" si="20"/>
        <v>16</v>
      </c>
      <c r="B289" s="95" t="s">
        <v>567</v>
      </c>
      <c r="C289" s="40">
        <v>203.5</v>
      </c>
      <c r="D289" s="40"/>
      <c r="E289" s="9">
        <f t="shared" si="16"/>
        <v>203.5</v>
      </c>
      <c r="F289" s="89">
        <f t="shared" si="17"/>
        <v>100</v>
      </c>
      <c r="G289" s="40">
        <v>203.5</v>
      </c>
      <c r="H289" s="155">
        <f t="shared" si="18"/>
        <v>203.5</v>
      </c>
      <c r="I289" s="40">
        <v>0</v>
      </c>
      <c r="J289" s="40">
        <v>0</v>
      </c>
      <c r="K289" s="188">
        <f t="shared" si="19"/>
        <v>0</v>
      </c>
      <c r="L289" s="10"/>
    </row>
    <row r="290" spans="1:12" ht="33">
      <c r="A290" s="94">
        <f t="shared" si="20"/>
        <v>17</v>
      </c>
      <c r="B290" s="102" t="s">
        <v>183</v>
      </c>
      <c r="C290" s="40">
        <v>363.1</v>
      </c>
      <c r="D290" s="40"/>
      <c r="E290" s="9">
        <f t="shared" si="16"/>
        <v>363.1</v>
      </c>
      <c r="F290" s="89">
        <f t="shared" si="17"/>
        <v>100</v>
      </c>
      <c r="G290" s="40">
        <v>363.1</v>
      </c>
      <c r="H290" s="155">
        <f t="shared" si="18"/>
        <v>363.1</v>
      </c>
      <c r="I290" s="40">
        <v>363.1</v>
      </c>
      <c r="J290" s="40">
        <v>363.1</v>
      </c>
      <c r="K290" s="188">
        <f t="shared" si="19"/>
        <v>-363.1</v>
      </c>
      <c r="L290" s="10"/>
    </row>
    <row r="291" spans="1:12" ht="33" customHeight="1">
      <c r="A291" s="94">
        <f t="shared" si="20"/>
        <v>18</v>
      </c>
      <c r="B291" s="102" t="s">
        <v>184</v>
      </c>
      <c r="C291" s="40">
        <v>170</v>
      </c>
      <c r="D291" s="40"/>
      <c r="E291" s="9">
        <f t="shared" si="16"/>
        <v>170</v>
      </c>
      <c r="F291" s="89">
        <f t="shared" si="17"/>
        <v>100</v>
      </c>
      <c r="G291" s="40">
        <v>170</v>
      </c>
      <c r="H291" s="155">
        <f t="shared" si="18"/>
        <v>170</v>
      </c>
      <c r="I291" s="40">
        <v>0</v>
      </c>
      <c r="J291" s="40">
        <v>0</v>
      </c>
      <c r="K291" s="188">
        <f t="shared" si="19"/>
        <v>0</v>
      </c>
      <c r="L291" s="10"/>
    </row>
    <row r="292" spans="1:12" ht="34.5" customHeight="1">
      <c r="A292" s="94">
        <f t="shared" si="20"/>
        <v>19</v>
      </c>
      <c r="B292" s="127" t="s">
        <v>185</v>
      </c>
      <c r="C292" s="42">
        <v>80</v>
      </c>
      <c r="D292" s="42"/>
      <c r="E292" s="9">
        <f t="shared" si="16"/>
        <v>80</v>
      </c>
      <c r="F292" s="89">
        <f t="shared" si="17"/>
        <v>100</v>
      </c>
      <c r="G292" s="42">
        <v>80</v>
      </c>
      <c r="H292" s="155">
        <f t="shared" si="18"/>
        <v>80</v>
      </c>
      <c r="I292" s="42">
        <v>0</v>
      </c>
      <c r="J292" s="42">
        <v>0</v>
      </c>
      <c r="K292" s="188">
        <f t="shared" si="19"/>
        <v>0</v>
      </c>
      <c r="L292" s="10"/>
    </row>
    <row r="293" spans="1:12" ht="33.75" customHeight="1">
      <c r="A293" s="94">
        <f t="shared" si="20"/>
        <v>20</v>
      </c>
      <c r="B293" s="102" t="s">
        <v>186</v>
      </c>
      <c r="C293" s="40">
        <v>500</v>
      </c>
      <c r="D293" s="40"/>
      <c r="E293" s="9">
        <f t="shared" si="16"/>
        <v>500</v>
      </c>
      <c r="F293" s="89">
        <f t="shared" si="17"/>
        <v>100</v>
      </c>
      <c r="G293" s="40">
        <v>500</v>
      </c>
      <c r="H293" s="155">
        <f t="shared" si="18"/>
        <v>500</v>
      </c>
      <c r="I293" s="40">
        <v>500</v>
      </c>
      <c r="J293" s="40">
        <v>0</v>
      </c>
      <c r="K293" s="188">
        <f t="shared" si="19"/>
        <v>-500</v>
      </c>
      <c r="L293" s="10"/>
    </row>
    <row r="294" spans="1:12" ht="32.25" customHeight="1">
      <c r="A294" s="94">
        <f t="shared" si="20"/>
        <v>21</v>
      </c>
      <c r="B294" s="102" t="s">
        <v>187</v>
      </c>
      <c r="C294" s="40">
        <v>303.8</v>
      </c>
      <c r="D294" s="40"/>
      <c r="E294" s="9">
        <f t="shared" si="16"/>
        <v>303.8</v>
      </c>
      <c r="F294" s="89">
        <f t="shared" si="17"/>
        <v>100</v>
      </c>
      <c r="G294" s="40">
        <v>303.8</v>
      </c>
      <c r="H294" s="155">
        <f t="shared" si="18"/>
        <v>303.8</v>
      </c>
      <c r="I294" s="40">
        <v>303.8</v>
      </c>
      <c r="J294" s="40">
        <v>303.8</v>
      </c>
      <c r="K294" s="188">
        <f t="shared" si="19"/>
        <v>-303.8</v>
      </c>
      <c r="L294" s="10"/>
    </row>
    <row r="295" spans="1:12" ht="33" customHeight="1">
      <c r="A295" s="94">
        <f t="shared" si="20"/>
        <v>22</v>
      </c>
      <c r="B295" s="102" t="s">
        <v>192</v>
      </c>
      <c r="C295" s="40">
        <v>125</v>
      </c>
      <c r="D295" s="40"/>
      <c r="E295" s="9">
        <f t="shared" si="16"/>
        <v>125</v>
      </c>
      <c r="F295" s="89">
        <f t="shared" si="17"/>
        <v>100</v>
      </c>
      <c r="G295" s="40">
        <v>125</v>
      </c>
      <c r="H295" s="155">
        <f t="shared" si="18"/>
        <v>125</v>
      </c>
      <c r="I295" s="40">
        <v>0</v>
      </c>
      <c r="J295" s="40">
        <v>0</v>
      </c>
      <c r="K295" s="188">
        <f t="shared" si="19"/>
        <v>0</v>
      </c>
      <c r="L295" s="10"/>
    </row>
    <row r="296" spans="1:12" ht="55.5" customHeight="1">
      <c r="A296" s="94">
        <f t="shared" si="20"/>
        <v>23</v>
      </c>
      <c r="B296" s="95" t="s">
        <v>527</v>
      </c>
      <c r="C296" s="40">
        <v>50</v>
      </c>
      <c r="D296" s="40"/>
      <c r="E296" s="9">
        <f t="shared" si="16"/>
        <v>50</v>
      </c>
      <c r="F296" s="89">
        <f t="shared" si="17"/>
        <v>100</v>
      </c>
      <c r="G296" s="40">
        <v>50</v>
      </c>
      <c r="H296" s="155">
        <f t="shared" si="18"/>
        <v>50</v>
      </c>
      <c r="I296" s="40">
        <v>0</v>
      </c>
      <c r="J296" s="40">
        <v>0</v>
      </c>
      <c r="K296" s="188">
        <f t="shared" si="19"/>
        <v>0</v>
      </c>
      <c r="L296" s="10"/>
    </row>
    <row r="297" spans="1:12" ht="70.5" customHeight="1">
      <c r="A297" s="94">
        <v>24</v>
      </c>
      <c r="B297" s="102" t="s">
        <v>188</v>
      </c>
      <c r="C297" s="40">
        <v>340</v>
      </c>
      <c r="D297" s="40"/>
      <c r="E297" s="9">
        <f t="shared" si="16"/>
        <v>340</v>
      </c>
      <c r="F297" s="89">
        <f t="shared" si="17"/>
        <v>100</v>
      </c>
      <c r="G297" s="40">
        <v>340</v>
      </c>
      <c r="H297" s="155">
        <f t="shared" si="18"/>
        <v>340</v>
      </c>
      <c r="I297" s="40">
        <v>256.42</v>
      </c>
      <c r="J297" s="40">
        <v>0</v>
      </c>
      <c r="K297" s="188">
        <f t="shared" si="19"/>
        <v>-256.42</v>
      </c>
      <c r="L297" s="10"/>
    </row>
    <row r="298" spans="1:12" ht="21" customHeight="1">
      <c r="A298" s="94">
        <v>25</v>
      </c>
      <c r="B298" s="102" t="s">
        <v>189</v>
      </c>
      <c r="C298" s="40">
        <v>250</v>
      </c>
      <c r="D298" s="40"/>
      <c r="E298" s="9">
        <f t="shared" si="16"/>
        <v>250</v>
      </c>
      <c r="F298" s="89">
        <f t="shared" si="17"/>
        <v>100</v>
      </c>
      <c r="G298" s="40">
        <v>250</v>
      </c>
      <c r="H298" s="155">
        <f t="shared" si="18"/>
        <v>250</v>
      </c>
      <c r="I298" s="40">
        <v>0</v>
      </c>
      <c r="J298" s="40">
        <v>0</v>
      </c>
      <c r="K298" s="188">
        <f t="shared" si="19"/>
        <v>0</v>
      </c>
      <c r="L298" s="10"/>
    </row>
    <row r="299" spans="1:12" ht="35.25" customHeight="1">
      <c r="A299" s="94">
        <v>26</v>
      </c>
      <c r="B299" s="102" t="s">
        <v>190</v>
      </c>
      <c r="C299" s="40">
        <v>226</v>
      </c>
      <c r="D299" s="40"/>
      <c r="E299" s="9">
        <f t="shared" si="16"/>
        <v>226</v>
      </c>
      <c r="F299" s="89">
        <f t="shared" si="17"/>
        <v>100</v>
      </c>
      <c r="G299" s="40">
        <v>226</v>
      </c>
      <c r="H299" s="155">
        <f t="shared" si="18"/>
        <v>226</v>
      </c>
      <c r="I299" s="40">
        <v>225.596</v>
      </c>
      <c r="J299" s="40">
        <v>0</v>
      </c>
      <c r="K299" s="188">
        <f t="shared" si="19"/>
        <v>-225.596</v>
      </c>
      <c r="L299" s="10"/>
    </row>
    <row r="300" spans="1:12" ht="51" customHeight="1">
      <c r="A300" s="94">
        <v>27</v>
      </c>
      <c r="B300" s="102" t="s">
        <v>191</v>
      </c>
      <c r="C300" s="40">
        <v>277.4</v>
      </c>
      <c r="D300" s="40"/>
      <c r="E300" s="9">
        <f t="shared" si="16"/>
        <v>277.4</v>
      </c>
      <c r="F300" s="89">
        <f t="shared" si="17"/>
        <v>100</v>
      </c>
      <c r="G300" s="40">
        <v>277.4</v>
      </c>
      <c r="H300" s="155">
        <f t="shared" si="18"/>
        <v>277.4</v>
      </c>
      <c r="I300" s="40">
        <v>129.04</v>
      </c>
      <c r="J300" s="40">
        <v>0</v>
      </c>
      <c r="K300" s="188">
        <f t="shared" si="19"/>
        <v>-129.04</v>
      </c>
      <c r="L300" s="10"/>
    </row>
    <row r="301" spans="1:12" ht="36.75" customHeight="1">
      <c r="A301" s="94">
        <v>28</v>
      </c>
      <c r="B301" s="127" t="s">
        <v>392</v>
      </c>
      <c r="C301" s="40">
        <v>1100</v>
      </c>
      <c r="D301" s="40"/>
      <c r="E301" s="9">
        <f t="shared" si="16"/>
        <v>1100</v>
      </c>
      <c r="F301" s="89">
        <f t="shared" si="17"/>
        <v>100</v>
      </c>
      <c r="G301" s="40">
        <v>1100</v>
      </c>
      <c r="H301" s="155">
        <f t="shared" si="18"/>
        <v>1100</v>
      </c>
      <c r="I301" s="40">
        <v>759.26</v>
      </c>
      <c r="J301" s="40">
        <v>729.86</v>
      </c>
      <c r="K301" s="188">
        <f t="shared" si="19"/>
        <v>-759.26</v>
      </c>
      <c r="L301" s="10"/>
    </row>
    <row r="302" spans="1:12" ht="35.25" customHeight="1">
      <c r="A302" s="94">
        <v>29</v>
      </c>
      <c r="B302" s="102" t="s">
        <v>391</v>
      </c>
      <c r="C302" s="40">
        <v>900</v>
      </c>
      <c r="D302" s="40"/>
      <c r="E302" s="9">
        <f t="shared" si="16"/>
        <v>900</v>
      </c>
      <c r="F302" s="89">
        <f t="shared" si="17"/>
        <v>100</v>
      </c>
      <c r="G302" s="40">
        <v>900</v>
      </c>
      <c r="H302" s="155">
        <f t="shared" si="18"/>
        <v>900</v>
      </c>
      <c r="I302" s="40">
        <v>605</v>
      </c>
      <c r="J302" s="40">
        <v>358.25</v>
      </c>
      <c r="K302" s="188">
        <f t="shared" si="19"/>
        <v>-605</v>
      </c>
      <c r="L302" s="10"/>
    </row>
    <row r="303" spans="1:12" ht="35.25" customHeight="1">
      <c r="A303" s="366" t="s">
        <v>53</v>
      </c>
      <c r="B303" s="367"/>
      <c r="C303" s="73">
        <v>5179.6</v>
      </c>
      <c r="D303" s="73">
        <f>SUM(D304:D309)</f>
        <v>4972.400000000001</v>
      </c>
      <c r="E303" s="73">
        <f t="shared" si="16"/>
        <v>207.19999999999982</v>
      </c>
      <c r="F303" s="73">
        <f t="shared" si="17"/>
        <v>4.00030890416248</v>
      </c>
      <c r="G303" s="73">
        <f>SUM(G304:G309)</f>
        <v>5000.3060000000005</v>
      </c>
      <c r="H303" s="73">
        <f t="shared" si="18"/>
        <v>27.90599999999995</v>
      </c>
      <c r="I303" s="73">
        <f>SUM(I304:I309)</f>
        <v>2240.6</v>
      </c>
      <c r="J303" s="73">
        <f>SUM(J304:J309)</f>
        <v>2240.6</v>
      </c>
      <c r="K303" s="188">
        <f t="shared" si="19"/>
        <v>2731.8000000000006</v>
      </c>
      <c r="L303" s="77"/>
    </row>
    <row r="304" spans="1:12" ht="81" customHeight="1">
      <c r="A304" s="94">
        <v>1</v>
      </c>
      <c r="B304" s="95" t="s">
        <v>78</v>
      </c>
      <c r="C304" s="9">
        <v>2000</v>
      </c>
      <c r="D304" s="162">
        <v>1945.44</v>
      </c>
      <c r="E304" s="9">
        <f t="shared" si="16"/>
        <v>54.559999999999945</v>
      </c>
      <c r="F304" s="89">
        <f t="shared" si="17"/>
        <v>2.7279999999999944</v>
      </c>
      <c r="G304" s="165">
        <v>1973.346</v>
      </c>
      <c r="H304" s="155">
        <f t="shared" si="18"/>
        <v>27.90599999999995</v>
      </c>
      <c r="I304" s="9">
        <v>1920</v>
      </c>
      <c r="J304" s="9">
        <v>1920</v>
      </c>
      <c r="K304" s="188">
        <f t="shared" si="19"/>
        <v>25.440000000000055</v>
      </c>
      <c r="L304" s="157" t="s">
        <v>549</v>
      </c>
    </row>
    <row r="305" spans="1:12" ht="81.75" customHeight="1">
      <c r="A305" s="94">
        <v>2</v>
      </c>
      <c r="B305" s="95" t="s">
        <v>79</v>
      </c>
      <c r="C305" s="9">
        <v>2000</v>
      </c>
      <c r="D305" s="163">
        <v>1918.203</v>
      </c>
      <c r="E305" s="9">
        <f t="shared" si="16"/>
        <v>81.79700000000003</v>
      </c>
      <c r="F305" s="89">
        <f t="shared" si="17"/>
        <v>4.089850000000013</v>
      </c>
      <c r="G305" s="165">
        <v>1918.203</v>
      </c>
      <c r="H305" s="155">
        <f t="shared" si="18"/>
        <v>0</v>
      </c>
      <c r="I305" s="9">
        <v>0</v>
      </c>
      <c r="J305" s="9">
        <v>0</v>
      </c>
      <c r="K305" s="188">
        <f t="shared" si="19"/>
        <v>1918.203</v>
      </c>
      <c r="L305" s="10"/>
    </row>
    <row r="306" spans="1:12" ht="69" customHeight="1">
      <c r="A306" s="98">
        <v>3</v>
      </c>
      <c r="B306" s="99" t="s">
        <v>80</v>
      </c>
      <c r="C306" s="9">
        <v>259</v>
      </c>
      <c r="D306" s="163">
        <v>250.437</v>
      </c>
      <c r="E306" s="9">
        <f t="shared" si="16"/>
        <v>8.562999999999988</v>
      </c>
      <c r="F306" s="89">
        <f t="shared" si="17"/>
        <v>3.306177606177613</v>
      </c>
      <c r="G306" s="165">
        <v>250.437</v>
      </c>
      <c r="H306" s="155">
        <f t="shared" si="18"/>
        <v>0</v>
      </c>
      <c r="I306" s="9">
        <v>0</v>
      </c>
      <c r="J306" s="9">
        <v>0</v>
      </c>
      <c r="K306" s="188">
        <f t="shared" si="19"/>
        <v>250.437</v>
      </c>
      <c r="L306" s="10"/>
    </row>
    <row r="307" spans="1:12" ht="88.5" customHeight="1">
      <c r="A307" s="98">
        <v>4</v>
      </c>
      <c r="B307" s="99" t="s">
        <v>393</v>
      </c>
      <c r="C307" s="9">
        <v>300</v>
      </c>
      <c r="D307" s="162">
        <v>277.72</v>
      </c>
      <c r="E307" s="9">
        <f t="shared" si="16"/>
        <v>22.279999999999973</v>
      </c>
      <c r="F307" s="89">
        <f t="shared" si="17"/>
        <v>7.426666666666662</v>
      </c>
      <c r="G307" s="166">
        <v>277.72</v>
      </c>
      <c r="H307" s="155">
        <f t="shared" si="18"/>
        <v>0</v>
      </c>
      <c r="I307" s="9">
        <v>0</v>
      </c>
      <c r="J307" s="9">
        <v>0</v>
      </c>
      <c r="K307" s="188">
        <f t="shared" si="19"/>
        <v>277.72</v>
      </c>
      <c r="L307" s="10"/>
    </row>
    <row r="308" spans="1:12" ht="85.5" customHeight="1">
      <c r="A308" s="98">
        <v>5</v>
      </c>
      <c r="B308" s="99" t="s">
        <v>394</v>
      </c>
      <c r="C308" s="9">
        <v>300</v>
      </c>
      <c r="D308" s="164">
        <v>260</v>
      </c>
      <c r="E308" s="9">
        <f t="shared" si="16"/>
        <v>40</v>
      </c>
      <c r="F308" s="89">
        <f t="shared" si="17"/>
        <v>13.333333333333329</v>
      </c>
      <c r="G308" s="167">
        <v>260</v>
      </c>
      <c r="H308" s="155">
        <f t="shared" si="18"/>
        <v>0</v>
      </c>
      <c r="I308" s="9">
        <v>0</v>
      </c>
      <c r="J308" s="9">
        <v>0</v>
      </c>
      <c r="K308" s="188">
        <f t="shared" si="19"/>
        <v>260</v>
      </c>
      <c r="L308" s="10"/>
    </row>
    <row r="309" spans="1:12" ht="59.25" customHeight="1">
      <c r="A309" s="98">
        <v>6</v>
      </c>
      <c r="B309" s="99" t="s">
        <v>81</v>
      </c>
      <c r="C309" s="9">
        <v>320.6</v>
      </c>
      <c r="D309" s="164">
        <v>320.6</v>
      </c>
      <c r="E309" s="9">
        <f t="shared" si="16"/>
        <v>0</v>
      </c>
      <c r="F309" s="89">
        <f t="shared" si="17"/>
        <v>0</v>
      </c>
      <c r="G309" s="164">
        <v>320.6</v>
      </c>
      <c r="H309" s="155">
        <f t="shared" si="18"/>
        <v>0</v>
      </c>
      <c r="I309" s="9">
        <v>320.6</v>
      </c>
      <c r="J309" s="9">
        <v>320.6</v>
      </c>
      <c r="K309" s="188">
        <f t="shared" si="19"/>
        <v>0</v>
      </c>
      <c r="L309" s="10"/>
    </row>
    <row r="310" spans="1:12" ht="18.75" customHeight="1" hidden="1">
      <c r="A310" s="368" t="s">
        <v>20</v>
      </c>
      <c r="B310" s="369"/>
      <c r="C310" s="73">
        <v>4106.7</v>
      </c>
      <c r="D310" s="73">
        <f>SUM(D311)</f>
        <v>3942.4</v>
      </c>
      <c r="E310" s="73">
        <f t="shared" si="16"/>
        <v>164.29999999999973</v>
      </c>
      <c r="F310" s="73">
        <f t="shared" si="17"/>
        <v>4.000779214454425</v>
      </c>
      <c r="G310" s="73">
        <f>SUM(G311)</f>
        <v>3619</v>
      </c>
      <c r="H310" s="73">
        <f t="shared" si="18"/>
        <v>-323.4000000000001</v>
      </c>
      <c r="I310" s="73">
        <f>SUM(I311)</f>
        <v>3619</v>
      </c>
      <c r="J310" s="73">
        <f>SUM(J311)</f>
        <v>0</v>
      </c>
      <c r="K310" s="188">
        <f t="shared" si="19"/>
        <v>323.4000000000001</v>
      </c>
      <c r="L310" s="77"/>
    </row>
    <row r="311" spans="1:12" ht="191.25" customHeight="1" hidden="1">
      <c r="A311" s="98">
        <v>1</v>
      </c>
      <c r="B311" s="128" t="s">
        <v>408</v>
      </c>
      <c r="C311" s="9">
        <v>4106.7</v>
      </c>
      <c r="D311" s="9">
        <v>3942.4</v>
      </c>
      <c r="E311" s="9">
        <f t="shared" si="16"/>
        <v>164.29999999999973</v>
      </c>
      <c r="F311" s="89">
        <f t="shared" si="17"/>
        <v>4.000779214454425</v>
      </c>
      <c r="G311" s="9">
        <v>3619</v>
      </c>
      <c r="H311" s="155">
        <f t="shared" si="18"/>
        <v>-323.4000000000001</v>
      </c>
      <c r="I311" s="9">
        <v>3619</v>
      </c>
      <c r="J311" s="9">
        <v>0</v>
      </c>
      <c r="K311" s="188">
        <f t="shared" si="19"/>
        <v>323.4000000000001</v>
      </c>
      <c r="L311" s="168" t="s">
        <v>548</v>
      </c>
    </row>
    <row r="312" spans="1:12" ht="34.5" customHeight="1">
      <c r="A312" s="370" t="s">
        <v>21</v>
      </c>
      <c r="B312" s="371"/>
      <c r="C312" s="71">
        <v>1974</v>
      </c>
      <c r="D312" s="71">
        <f>SUM(D313:D314)</f>
        <v>1895</v>
      </c>
      <c r="E312" s="71">
        <f t="shared" si="16"/>
        <v>79</v>
      </c>
      <c r="F312" s="71">
        <f t="shared" si="17"/>
        <v>4.00202634245187</v>
      </c>
      <c r="G312" s="71">
        <f>SUM(G313:G314)</f>
        <v>1923.248</v>
      </c>
      <c r="H312" s="71">
        <f t="shared" si="18"/>
        <v>28.248000000000047</v>
      </c>
      <c r="I312" s="71">
        <f>SUM(I313:I314)</f>
        <v>1895</v>
      </c>
      <c r="J312" s="71">
        <f>SUM(J313:J314)</f>
        <v>1923.2</v>
      </c>
      <c r="K312" s="188">
        <f t="shared" si="19"/>
        <v>0</v>
      </c>
      <c r="L312" s="72"/>
    </row>
    <row r="313" spans="1:12" ht="50.25">
      <c r="A313" s="98">
        <v>1</v>
      </c>
      <c r="B313" s="99" t="s">
        <v>203</v>
      </c>
      <c r="C313" s="9">
        <v>1000</v>
      </c>
      <c r="D313" s="9">
        <v>960</v>
      </c>
      <c r="E313" s="9">
        <f t="shared" si="16"/>
        <v>40</v>
      </c>
      <c r="F313" s="89">
        <f t="shared" si="17"/>
        <v>4</v>
      </c>
      <c r="G313" s="9">
        <v>960</v>
      </c>
      <c r="H313" s="155">
        <f t="shared" si="18"/>
        <v>0</v>
      </c>
      <c r="I313" s="9">
        <v>960</v>
      </c>
      <c r="J313" s="9">
        <v>960</v>
      </c>
      <c r="K313" s="188">
        <f t="shared" si="19"/>
        <v>0</v>
      </c>
      <c r="L313" s="10"/>
    </row>
    <row r="314" spans="1:12" ht="50.25">
      <c r="A314" s="98">
        <v>2</v>
      </c>
      <c r="B314" s="99" t="s">
        <v>204</v>
      </c>
      <c r="C314" s="9">
        <v>974</v>
      </c>
      <c r="D314" s="9">
        <v>935</v>
      </c>
      <c r="E314" s="9">
        <f t="shared" si="16"/>
        <v>39</v>
      </c>
      <c r="F314" s="89">
        <f t="shared" si="17"/>
        <v>4.004106776180691</v>
      </c>
      <c r="G314" s="9">
        <v>963.248</v>
      </c>
      <c r="H314" s="155">
        <f t="shared" si="18"/>
        <v>28.248000000000047</v>
      </c>
      <c r="I314" s="9">
        <v>935</v>
      </c>
      <c r="J314" s="9">
        <v>963.2</v>
      </c>
      <c r="K314" s="188">
        <f t="shared" si="19"/>
        <v>0</v>
      </c>
      <c r="L314" s="157" t="s">
        <v>543</v>
      </c>
    </row>
    <row r="315" spans="1:12" ht="17.25">
      <c r="A315" s="368" t="s">
        <v>22</v>
      </c>
      <c r="B315" s="369"/>
      <c r="C315" s="73">
        <v>729.2</v>
      </c>
      <c r="D315" s="73">
        <f>SUM(D316)</f>
        <v>700</v>
      </c>
      <c r="E315" s="73">
        <f t="shared" si="16"/>
        <v>29.200000000000045</v>
      </c>
      <c r="F315" s="73">
        <f t="shared" si="17"/>
        <v>4.004388370817338</v>
      </c>
      <c r="G315" s="73">
        <f>SUM(G316)</f>
        <v>729.2</v>
      </c>
      <c r="H315" s="73">
        <f t="shared" si="18"/>
        <v>29.200000000000045</v>
      </c>
      <c r="I315" s="73">
        <f>SUM(I316)</f>
        <v>700</v>
      </c>
      <c r="J315" s="73">
        <f>SUM(J316)</f>
        <v>700</v>
      </c>
      <c r="K315" s="188">
        <f t="shared" si="19"/>
        <v>0</v>
      </c>
      <c r="L315" s="77"/>
    </row>
    <row r="316" spans="1:12" ht="78.75">
      <c r="A316" s="98">
        <v>1</v>
      </c>
      <c r="B316" s="99" t="s">
        <v>193</v>
      </c>
      <c r="C316" s="27">
        <v>729.2</v>
      </c>
      <c r="D316" s="27">
        <v>700</v>
      </c>
      <c r="E316" s="9">
        <f t="shared" si="16"/>
        <v>29.200000000000045</v>
      </c>
      <c r="F316" s="89">
        <f t="shared" si="17"/>
        <v>4.004388370817338</v>
      </c>
      <c r="G316" s="31">
        <v>729.2</v>
      </c>
      <c r="H316" s="155">
        <f t="shared" si="18"/>
        <v>29.200000000000045</v>
      </c>
      <c r="I316" s="27">
        <v>700</v>
      </c>
      <c r="J316" s="27">
        <v>700</v>
      </c>
      <c r="K316" s="188">
        <f t="shared" si="19"/>
        <v>0</v>
      </c>
      <c r="L316" s="156" t="s">
        <v>542</v>
      </c>
    </row>
    <row r="317" spans="1:12" ht="18.75" customHeight="1">
      <c r="A317" s="368" t="s">
        <v>23</v>
      </c>
      <c r="B317" s="369"/>
      <c r="C317" s="73">
        <v>2391.1</v>
      </c>
      <c r="D317" s="73">
        <f>SUM(D318:D323)</f>
        <v>2295.5</v>
      </c>
      <c r="E317" s="73">
        <f t="shared" si="16"/>
        <v>95.59999999999991</v>
      </c>
      <c r="F317" s="73">
        <f t="shared" si="17"/>
        <v>3.998159842750198</v>
      </c>
      <c r="G317" s="73">
        <f>SUM(G318:G323)</f>
        <v>2305.3</v>
      </c>
      <c r="H317" s="73">
        <f t="shared" si="18"/>
        <v>9.800000000000182</v>
      </c>
      <c r="I317" s="73">
        <f>SUM(I318:I323)</f>
        <v>2295.5</v>
      </c>
      <c r="J317" s="73">
        <f>SUM(J318:J323)</f>
        <v>2295.5</v>
      </c>
      <c r="K317" s="188">
        <f t="shared" si="19"/>
        <v>0</v>
      </c>
      <c r="L317" s="77"/>
    </row>
    <row r="318" spans="1:12" ht="37.5" customHeight="1">
      <c r="A318" s="94">
        <v>1</v>
      </c>
      <c r="B318" s="95" t="s">
        <v>194</v>
      </c>
      <c r="C318" s="12">
        <v>1000</v>
      </c>
      <c r="D318" s="12">
        <v>904.4</v>
      </c>
      <c r="E318" s="9">
        <f t="shared" si="16"/>
        <v>95.60000000000002</v>
      </c>
      <c r="F318" s="89">
        <f t="shared" si="17"/>
        <v>9.560000000000002</v>
      </c>
      <c r="G318" s="12">
        <v>914.2</v>
      </c>
      <c r="H318" s="155">
        <f t="shared" si="18"/>
        <v>9.800000000000068</v>
      </c>
      <c r="I318" s="12">
        <v>904.4</v>
      </c>
      <c r="J318" s="12">
        <v>904.4</v>
      </c>
      <c r="K318" s="188">
        <f t="shared" si="19"/>
        <v>0</v>
      </c>
      <c r="L318" s="157" t="s">
        <v>554</v>
      </c>
    </row>
    <row r="319" spans="1:12" ht="18">
      <c r="A319" s="94">
        <v>2</v>
      </c>
      <c r="B319" s="95" t="s">
        <v>195</v>
      </c>
      <c r="C319" s="12">
        <v>285.6</v>
      </c>
      <c r="D319" s="12">
        <v>285.6</v>
      </c>
      <c r="E319" s="9">
        <f t="shared" si="16"/>
        <v>0</v>
      </c>
      <c r="F319" s="89">
        <f t="shared" si="17"/>
        <v>0</v>
      </c>
      <c r="G319" s="12">
        <v>285.6</v>
      </c>
      <c r="H319" s="155">
        <f t="shared" si="18"/>
        <v>0</v>
      </c>
      <c r="I319" s="12">
        <v>285.6</v>
      </c>
      <c r="J319" s="12">
        <v>285.6</v>
      </c>
      <c r="K319" s="188">
        <f t="shared" si="19"/>
        <v>0</v>
      </c>
      <c r="L319" s="10"/>
    </row>
    <row r="320" spans="1:12" ht="33.75" customHeight="1">
      <c r="A320" s="94">
        <v>3</v>
      </c>
      <c r="B320" s="95" t="s">
        <v>196</v>
      </c>
      <c r="C320" s="12">
        <v>214.2</v>
      </c>
      <c r="D320" s="12">
        <v>214.2</v>
      </c>
      <c r="E320" s="9">
        <f t="shared" si="16"/>
        <v>0</v>
      </c>
      <c r="F320" s="89">
        <f t="shared" si="17"/>
        <v>0</v>
      </c>
      <c r="G320" s="12">
        <v>214.2</v>
      </c>
      <c r="H320" s="155">
        <f t="shared" si="18"/>
        <v>0</v>
      </c>
      <c r="I320" s="12">
        <v>214.2</v>
      </c>
      <c r="J320" s="12">
        <v>214.2</v>
      </c>
      <c r="K320" s="188">
        <f t="shared" si="19"/>
        <v>0</v>
      </c>
      <c r="L320" s="10"/>
    </row>
    <row r="321" spans="1:12" ht="22.5" customHeight="1">
      <c r="A321" s="94">
        <v>4</v>
      </c>
      <c r="B321" s="95" t="s">
        <v>197</v>
      </c>
      <c r="C321" s="12">
        <v>142.8</v>
      </c>
      <c r="D321" s="12">
        <v>142.8</v>
      </c>
      <c r="E321" s="9">
        <f t="shared" si="16"/>
        <v>0</v>
      </c>
      <c r="F321" s="89">
        <f t="shared" si="17"/>
        <v>0</v>
      </c>
      <c r="G321" s="12">
        <v>142.8</v>
      </c>
      <c r="H321" s="155">
        <f t="shared" si="18"/>
        <v>0</v>
      </c>
      <c r="I321" s="12">
        <v>142.8</v>
      </c>
      <c r="J321" s="12">
        <v>142.8</v>
      </c>
      <c r="K321" s="188">
        <f t="shared" si="19"/>
        <v>0</v>
      </c>
      <c r="L321" s="10"/>
    </row>
    <row r="322" spans="1:12" ht="21.75" customHeight="1">
      <c r="A322" s="94">
        <v>5</v>
      </c>
      <c r="B322" s="95" t="s">
        <v>198</v>
      </c>
      <c r="C322" s="12">
        <v>485.8</v>
      </c>
      <c r="D322" s="12">
        <v>485.8</v>
      </c>
      <c r="E322" s="9">
        <f t="shared" si="16"/>
        <v>0</v>
      </c>
      <c r="F322" s="89">
        <f t="shared" si="17"/>
        <v>0</v>
      </c>
      <c r="G322" s="12">
        <v>485.8</v>
      </c>
      <c r="H322" s="155">
        <f t="shared" si="18"/>
        <v>0</v>
      </c>
      <c r="I322" s="12">
        <v>485.8</v>
      </c>
      <c r="J322" s="12">
        <v>485.8</v>
      </c>
      <c r="K322" s="188">
        <f t="shared" si="19"/>
        <v>0</v>
      </c>
      <c r="L322" s="10"/>
    </row>
    <row r="323" spans="1:12" ht="40.5" customHeight="1">
      <c r="A323" s="94">
        <v>6</v>
      </c>
      <c r="B323" s="95" t="s">
        <v>199</v>
      </c>
      <c r="C323" s="35">
        <v>262.7</v>
      </c>
      <c r="D323" s="35">
        <v>262.7</v>
      </c>
      <c r="E323" s="9">
        <f t="shared" si="16"/>
        <v>0</v>
      </c>
      <c r="F323" s="89">
        <f t="shared" si="17"/>
        <v>0</v>
      </c>
      <c r="G323" s="35">
        <v>262.7</v>
      </c>
      <c r="H323" s="155">
        <f t="shared" si="18"/>
        <v>0</v>
      </c>
      <c r="I323" s="35">
        <v>262.7</v>
      </c>
      <c r="J323" s="35">
        <v>262.7</v>
      </c>
      <c r="K323" s="188">
        <f t="shared" si="19"/>
        <v>0</v>
      </c>
      <c r="L323" s="21"/>
    </row>
    <row r="324" spans="1:12" ht="18.75" customHeight="1" hidden="1">
      <c r="A324" s="364" t="s">
        <v>24</v>
      </c>
      <c r="B324" s="365"/>
      <c r="C324" s="80">
        <v>2524.5</v>
      </c>
      <c r="D324" s="80">
        <f>SUM(D325:D327)</f>
        <v>2423.5</v>
      </c>
      <c r="E324" s="71">
        <f t="shared" si="16"/>
        <v>101</v>
      </c>
      <c r="F324" s="71">
        <f t="shared" si="17"/>
        <v>4.000792236086355</v>
      </c>
      <c r="G324" s="80">
        <f>SUM(G325:G327)</f>
        <v>2411.9</v>
      </c>
      <c r="H324" s="71">
        <f t="shared" si="18"/>
        <v>-11.599999999999909</v>
      </c>
      <c r="I324" s="80">
        <f>SUM(I325:I327)</f>
        <v>2411.9</v>
      </c>
      <c r="J324" s="80">
        <f>SUM(J325:J327)</f>
        <v>2411.9</v>
      </c>
      <c r="K324" s="188">
        <f t="shared" si="19"/>
        <v>11.599999999999909</v>
      </c>
      <c r="L324" s="81"/>
    </row>
    <row r="325" spans="1:12" ht="25.5" customHeight="1" hidden="1">
      <c r="A325" s="129">
        <v>1</v>
      </c>
      <c r="B325" s="130" t="s">
        <v>200</v>
      </c>
      <c r="C325" s="18">
        <v>886</v>
      </c>
      <c r="D325" s="93">
        <v>886</v>
      </c>
      <c r="E325" s="9">
        <f t="shared" si="16"/>
        <v>0</v>
      </c>
      <c r="F325" s="89">
        <f t="shared" si="17"/>
        <v>0</v>
      </c>
      <c r="G325" s="93">
        <v>886</v>
      </c>
      <c r="H325" s="155">
        <f t="shared" si="18"/>
        <v>0</v>
      </c>
      <c r="I325" s="93">
        <v>886</v>
      </c>
      <c r="J325" s="93">
        <v>886</v>
      </c>
      <c r="K325" s="188">
        <f t="shared" si="19"/>
        <v>0</v>
      </c>
      <c r="L325" s="21"/>
    </row>
    <row r="326" spans="1:12" ht="39" customHeight="1" hidden="1">
      <c r="A326" s="129">
        <v>2</v>
      </c>
      <c r="B326" s="130" t="s">
        <v>201</v>
      </c>
      <c r="C326" s="18">
        <v>703</v>
      </c>
      <c r="D326" s="18">
        <v>703</v>
      </c>
      <c r="E326" s="9">
        <f t="shared" si="16"/>
        <v>0</v>
      </c>
      <c r="F326" s="89">
        <f t="shared" si="17"/>
        <v>0</v>
      </c>
      <c r="G326" s="18">
        <v>691.4</v>
      </c>
      <c r="H326" s="155">
        <f t="shared" si="18"/>
        <v>-11.600000000000023</v>
      </c>
      <c r="I326" s="18">
        <v>691.4</v>
      </c>
      <c r="J326" s="18">
        <v>691.4</v>
      </c>
      <c r="K326" s="188">
        <f t="shared" si="19"/>
        <v>11.600000000000023</v>
      </c>
      <c r="L326" s="10"/>
    </row>
    <row r="327" spans="1:12" ht="33" customHeight="1" hidden="1">
      <c r="A327" s="129">
        <v>3</v>
      </c>
      <c r="B327" s="130" t="s">
        <v>202</v>
      </c>
      <c r="C327" s="18">
        <v>935.5</v>
      </c>
      <c r="D327" s="18">
        <v>834.5</v>
      </c>
      <c r="E327" s="9">
        <f aca="true" t="shared" si="21" ref="E327:E372">C327-D327</f>
        <v>101</v>
      </c>
      <c r="F327" s="89">
        <f aca="true" t="shared" si="22" ref="F327:F372">100-D327/C327*100</f>
        <v>10.796365579903807</v>
      </c>
      <c r="G327" s="18">
        <v>834.5</v>
      </c>
      <c r="H327" s="155">
        <f aca="true" t="shared" si="23" ref="H327:H372">G327-D327</f>
        <v>0</v>
      </c>
      <c r="I327" s="18">
        <v>834.5</v>
      </c>
      <c r="J327" s="18">
        <v>834.5</v>
      </c>
      <c r="K327" s="188">
        <f t="shared" si="19"/>
        <v>0</v>
      </c>
      <c r="L327" s="10"/>
    </row>
    <row r="328" spans="1:12" ht="17.25">
      <c r="A328" s="364" t="s">
        <v>25</v>
      </c>
      <c r="B328" s="365"/>
      <c r="C328" s="75">
        <v>1432.4</v>
      </c>
      <c r="D328" s="75">
        <f>D329</f>
        <v>1375.1</v>
      </c>
      <c r="E328" s="71">
        <f t="shared" si="21"/>
        <v>57.30000000000018</v>
      </c>
      <c r="F328" s="71">
        <f t="shared" si="22"/>
        <v>4.000279251605704</v>
      </c>
      <c r="G328" s="75">
        <f>G329</f>
        <v>1481.14</v>
      </c>
      <c r="H328" s="71">
        <f t="shared" si="23"/>
        <v>106.04000000000019</v>
      </c>
      <c r="I328" s="75">
        <f>I329</f>
        <v>1375.1</v>
      </c>
      <c r="J328" s="75">
        <f>J329</f>
        <v>1375.1</v>
      </c>
      <c r="K328" s="188">
        <f aca="true" t="shared" si="24" ref="K328:K391">D328-I328</f>
        <v>0</v>
      </c>
      <c r="L328" s="84"/>
    </row>
    <row r="329" spans="1:12" ht="73.5" customHeight="1">
      <c r="A329" s="100">
        <v>1</v>
      </c>
      <c r="B329" s="101" t="s">
        <v>544</v>
      </c>
      <c r="C329" s="9">
        <v>1432.4</v>
      </c>
      <c r="D329" s="9">
        <v>1375.1</v>
      </c>
      <c r="E329" s="9">
        <f t="shared" si="21"/>
        <v>57.30000000000018</v>
      </c>
      <c r="F329" s="89">
        <f t="shared" si="22"/>
        <v>4.000279251605704</v>
      </c>
      <c r="G329" s="9">
        <v>1481.14</v>
      </c>
      <c r="H329" s="155">
        <f t="shared" si="23"/>
        <v>106.04000000000019</v>
      </c>
      <c r="I329" s="9">
        <v>1375.1</v>
      </c>
      <c r="J329" s="9">
        <v>1375.1</v>
      </c>
      <c r="K329" s="188">
        <f t="shared" si="24"/>
        <v>0</v>
      </c>
      <c r="L329" s="157" t="s">
        <v>555</v>
      </c>
    </row>
    <row r="330" spans="1:12" ht="17.25" hidden="1">
      <c r="A330" s="364" t="s">
        <v>26</v>
      </c>
      <c r="B330" s="365"/>
      <c r="C330" s="71">
        <v>1827.6</v>
      </c>
      <c r="D330" s="71">
        <f>SUM(D331:D337)</f>
        <v>1754.49</v>
      </c>
      <c r="E330" s="71">
        <f t="shared" si="21"/>
        <v>73.1099999999999</v>
      </c>
      <c r="F330" s="71">
        <f t="shared" si="22"/>
        <v>4.000328299409048</v>
      </c>
      <c r="G330" s="71">
        <f>SUM(G331:G337)</f>
        <v>1754.49</v>
      </c>
      <c r="H330" s="71">
        <f t="shared" si="23"/>
        <v>0</v>
      </c>
      <c r="I330" s="71">
        <f>SUM(I331:I337)</f>
        <v>1754.49</v>
      </c>
      <c r="J330" s="71">
        <f>SUM(J331:J337)</f>
        <v>1754.49</v>
      </c>
      <c r="K330" s="188">
        <f t="shared" si="24"/>
        <v>0</v>
      </c>
      <c r="L330" s="72"/>
    </row>
    <row r="331" spans="1:12" ht="18.75" customHeight="1" hidden="1">
      <c r="A331" s="94">
        <v>1</v>
      </c>
      <c r="B331" s="95" t="s">
        <v>205</v>
      </c>
      <c r="C331" s="12">
        <v>300</v>
      </c>
      <c r="D331" s="12">
        <v>300</v>
      </c>
      <c r="E331" s="9">
        <f t="shared" si="21"/>
        <v>0</v>
      </c>
      <c r="F331" s="89">
        <f t="shared" si="22"/>
        <v>0</v>
      </c>
      <c r="G331" s="12">
        <v>300</v>
      </c>
      <c r="H331" s="155">
        <f t="shared" si="23"/>
        <v>0</v>
      </c>
      <c r="I331" s="12">
        <v>300</v>
      </c>
      <c r="J331" s="12">
        <v>300</v>
      </c>
      <c r="K331" s="188">
        <f t="shared" si="24"/>
        <v>0</v>
      </c>
      <c r="L331" s="25"/>
    </row>
    <row r="332" spans="1:12" ht="21.75" customHeight="1" hidden="1">
      <c r="A332" s="94">
        <v>2</v>
      </c>
      <c r="B332" s="106" t="s">
        <v>475</v>
      </c>
      <c r="C332" s="12">
        <v>400</v>
      </c>
      <c r="D332" s="12">
        <v>397.97</v>
      </c>
      <c r="E332" s="9">
        <f t="shared" si="21"/>
        <v>2.0299999999999727</v>
      </c>
      <c r="F332" s="89">
        <f t="shared" si="22"/>
        <v>0.5074999999999932</v>
      </c>
      <c r="G332" s="12">
        <v>397.97</v>
      </c>
      <c r="H332" s="155">
        <f t="shared" si="23"/>
        <v>0</v>
      </c>
      <c r="I332" s="12">
        <v>397.97</v>
      </c>
      <c r="J332" s="12">
        <v>397.97</v>
      </c>
      <c r="K332" s="188">
        <f t="shared" si="24"/>
        <v>0</v>
      </c>
      <c r="L332" s="25"/>
    </row>
    <row r="333" spans="1:12" ht="20.25" customHeight="1" hidden="1">
      <c r="A333" s="94">
        <v>3</v>
      </c>
      <c r="B333" s="131" t="s">
        <v>206</v>
      </c>
      <c r="C333" s="20">
        <v>327.6</v>
      </c>
      <c r="D333" s="20">
        <v>301</v>
      </c>
      <c r="E333" s="9">
        <f t="shared" si="21"/>
        <v>26.600000000000023</v>
      </c>
      <c r="F333" s="89">
        <f t="shared" si="22"/>
        <v>8.119658119658126</v>
      </c>
      <c r="G333" s="20">
        <v>301</v>
      </c>
      <c r="H333" s="155">
        <f t="shared" si="23"/>
        <v>0</v>
      </c>
      <c r="I333" s="20">
        <v>301</v>
      </c>
      <c r="J333" s="20">
        <v>301</v>
      </c>
      <c r="K333" s="188">
        <f t="shared" si="24"/>
        <v>0</v>
      </c>
      <c r="L333" s="25"/>
    </row>
    <row r="334" spans="1:12" ht="33.75" customHeight="1" hidden="1">
      <c r="A334" s="94">
        <v>4</v>
      </c>
      <c r="B334" s="95" t="s">
        <v>519</v>
      </c>
      <c r="C334" s="12">
        <v>150</v>
      </c>
      <c r="D334" s="12">
        <v>144</v>
      </c>
      <c r="E334" s="9">
        <f t="shared" si="21"/>
        <v>6</v>
      </c>
      <c r="F334" s="89">
        <f t="shared" si="22"/>
        <v>4</v>
      </c>
      <c r="G334" s="12">
        <v>144</v>
      </c>
      <c r="H334" s="155">
        <f t="shared" si="23"/>
        <v>0</v>
      </c>
      <c r="I334" s="12">
        <v>144</v>
      </c>
      <c r="J334" s="12">
        <v>144</v>
      </c>
      <c r="K334" s="188">
        <f t="shared" si="24"/>
        <v>0</v>
      </c>
      <c r="L334" s="25"/>
    </row>
    <row r="335" spans="1:12" ht="33" hidden="1">
      <c r="A335" s="94">
        <v>5</v>
      </c>
      <c r="B335" s="95" t="s">
        <v>401</v>
      </c>
      <c r="C335" s="12">
        <v>100</v>
      </c>
      <c r="D335" s="12">
        <v>96</v>
      </c>
      <c r="E335" s="9">
        <f t="shared" si="21"/>
        <v>4</v>
      </c>
      <c r="F335" s="89">
        <f t="shared" si="22"/>
        <v>4</v>
      </c>
      <c r="G335" s="12">
        <v>96</v>
      </c>
      <c r="H335" s="155">
        <f t="shared" si="23"/>
        <v>0</v>
      </c>
      <c r="I335" s="12">
        <v>96</v>
      </c>
      <c r="J335" s="12">
        <v>96</v>
      </c>
      <c r="K335" s="188">
        <f t="shared" si="24"/>
        <v>0</v>
      </c>
      <c r="L335" s="25"/>
    </row>
    <row r="336" spans="1:12" ht="34.5" customHeight="1" hidden="1">
      <c r="A336" s="94">
        <v>6</v>
      </c>
      <c r="B336" s="95" t="s">
        <v>402</v>
      </c>
      <c r="C336" s="12">
        <v>150</v>
      </c>
      <c r="D336" s="12">
        <v>144</v>
      </c>
      <c r="E336" s="9">
        <f t="shared" si="21"/>
        <v>6</v>
      </c>
      <c r="F336" s="89">
        <f t="shared" si="22"/>
        <v>4</v>
      </c>
      <c r="G336" s="12">
        <v>144</v>
      </c>
      <c r="H336" s="155">
        <f t="shared" si="23"/>
        <v>0</v>
      </c>
      <c r="I336" s="12">
        <v>144</v>
      </c>
      <c r="J336" s="12">
        <v>144</v>
      </c>
      <c r="K336" s="188">
        <f t="shared" si="24"/>
        <v>0</v>
      </c>
      <c r="L336" s="25"/>
    </row>
    <row r="337" spans="1:12" ht="30.75" customHeight="1" hidden="1">
      <c r="A337" s="94">
        <v>7</v>
      </c>
      <c r="B337" s="95" t="s">
        <v>403</v>
      </c>
      <c r="C337" s="12">
        <v>400</v>
      </c>
      <c r="D337" s="12">
        <v>371.52</v>
      </c>
      <c r="E337" s="9">
        <f t="shared" si="21"/>
        <v>28.480000000000018</v>
      </c>
      <c r="F337" s="89">
        <f t="shared" si="22"/>
        <v>7.1200000000000045</v>
      </c>
      <c r="G337" s="12">
        <v>371.52</v>
      </c>
      <c r="H337" s="155">
        <f t="shared" si="23"/>
        <v>0</v>
      </c>
      <c r="I337" s="12">
        <v>371.52</v>
      </c>
      <c r="J337" s="12">
        <v>371.52</v>
      </c>
      <c r="K337" s="188">
        <f t="shared" si="24"/>
        <v>0</v>
      </c>
      <c r="L337" s="25"/>
    </row>
    <row r="338" spans="1:12" ht="21" customHeight="1" hidden="1">
      <c r="A338" s="364" t="s">
        <v>27</v>
      </c>
      <c r="B338" s="365"/>
      <c r="C338" s="71">
        <v>1599.8</v>
      </c>
      <c r="D338" s="71">
        <f>SUM(D339:D341)</f>
        <v>1535.8</v>
      </c>
      <c r="E338" s="71">
        <f t="shared" si="21"/>
        <v>64</v>
      </c>
      <c r="F338" s="71">
        <f t="shared" si="22"/>
        <v>4.000500062507811</v>
      </c>
      <c r="G338" s="71">
        <f>SUM(G339:G341)</f>
        <v>1535.8</v>
      </c>
      <c r="H338" s="71">
        <f t="shared" si="23"/>
        <v>0</v>
      </c>
      <c r="I338" s="71">
        <f>SUM(I339:I341)</f>
        <v>1535.8</v>
      </c>
      <c r="J338" s="71">
        <f>SUM(J339:J341)</f>
        <v>1535.8</v>
      </c>
      <c r="K338" s="188">
        <f t="shared" si="24"/>
        <v>0</v>
      </c>
      <c r="L338" s="72"/>
    </row>
    <row r="339" spans="1:12" ht="26.25" customHeight="1" hidden="1">
      <c r="A339" s="94">
        <v>1</v>
      </c>
      <c r="B339" s="95" t="s">
        <v>207</v>
      </c>
      <c r="C339" s="12">
        <v>490</v>
      </c>
      <c r="D339" s="12">
        <v>426</v>
      </c>
      <c r="E339" s="9">
        <f t="shared" si="21"/>
        <v>64</v>
      </c>
      <c r="F339" s="89">
        <f t="shared" si="22"/>
        <v>13.061224489795919</v>
      </c>
      <c r="G339" s="12">
        <v>426</v>
      </c>
      <c r="H339" s="155">
        <f t="shared" si="23"/>
        <v>0</v>
      </c>
      <c r="I339" s="12">
        <v>426</v>
      </c>
      <c r="J339" s="12">
        <v>426</v>
      </c>
      <c r="K339" s="188">
        <f t="shared" si="24"/>
        <v>0</v>
      </c>
      <c r="L339" s="10"/>
    </row>
    <row r="340" spans="1:12" ht="18.75" customHeight="1" hidden="1">
      <c r="A340" s="94">
        <v>2</v>
      </c>
      <c r="B340" s="95" t="s">
        <v>208</v>
      </c>
      <c r="C340" s="12">
        <v>1041.8</v>
      </c>
      <c r="D340" s="12">
        <v>1041.8</v>
      </c>
      <c r="E340" s="9">
        <f t="shared" si="21"/>
        <v>0</v>
      </c>
      <c r="F340" s="89">
        <f t="shared" si="22"/>
        <v>0</v>
      </c>
      <c r="G340" s="12">
        <v>1041.8</v>
      </c>
      <c r="H340" s="155">
        <f t="shared" si="23"/>
        <v>0</v>
      </c>
      <c r="I340" s="12">
        <v>1041.8</v>
      </c>
      <c r="J340" s="12">
        <v>1041.8</v>
      </c>
      <c r="K340" s="188">
        <f t="shared" si="24"/>
        <v>0</v>
      </c>
      <c r="L340" s="10"/>
    </row>
    <row r="341" spans="1:12" ht="33" customHeight="1" hidden="1">
      <c r="A341" s="94">
        <v>3</v>
      </c>
      <c r="B341" s="95" t="s">
        <v>209</v>
      </c>
      <c r="C341" s="12">
        <v>68</v>
      </c>
      <c r="D341" s="12">
        <v>68</v>
      </c>
      <c r="E341" s="9">
        <f t="shared" si="21"/>
        <v>0</v>
      </c>
      <c r="F341" s="89">
        <f t="shared" si="22"/>
        <v>0</v>
      </c>
      <c r="G341" s="12">
        <v>68</v>
      </c>
      <c r="H341" s="155">
        <f t="shared" si="23"/>
        <v>0</v>
      </c>
      <c r="I341" s="12">
        <v>68</v>
      </c>
      <c r="J341" s="12">
        <v>68</v>
      </c>
      <c r="K341" s="188">
        <f t="shared" si="24"/>
        <v>0</v>
      </c>
      <c r="L341" s="10"/>
    </row>
    <row r="342" spans="1:12" ht="24" customHeight="1" hidden="1">
      <c r="A342" s="96" t="s">
        <v>28</v>
      </c>
      <c r="B342" s="132"/>
      <c r="C342" s="73">
        <v>1825.3</v>
      </c>
      <c r="D342" s="73">
        <f>SUM(D343:D356)</f>
        <v>1752.29</v>
      </c>
      <c r="E342" s="73">
        <f t="shared" si="21"/>
        <v>73.00999999999999</v>
      </c>
      <c r="F342" s="73">
        <f t="shared" si="22"/>
        <v>3.9998904289705735</v>
      </c>
      <c r="G342" s="73">
        <f>SUM(G343:G356)</f>
        <v>1752.29</v>
      </c>
      <c r="H342" s="73">
        <f t="shared" si="23"/>
        <v>0</v>
      </c>
      <c r="I342" s="73">
        <f>SUM(I343:I356)</f>
        <v>1752.29</v>
      </c>
      <c r="J342" s="73">
        <f>SUM(J343:J356)</f>
        <v>1752.29</v>
      </c>
      <c r="K342" s="188">
        <f t="shared" si="24"/>
        <v>0</v>
      </c>
      <c r="L342" s="77"/>
    </row>
    <row r="343" spans="1:12" ht="39.75" customHeight="1" hidden="1">
      <c r="A343" s="94">
        <v>1</v>
      </c>
      <c r="B343" s="113" t="s">
        <v>476</v>
      </c>
      <c r="C343" s="12">
        <v>173</v>
      </c>
      <c r="D343" s="12">
        <v>173</v>
      </c>
      <c r="E343" s="9">
        <f t="shared" si="21"/>
        <v>0</v>
      </c>
      <c r="F343" s="89">
        <f t="shared" si="22"/>
        <v>0</v>
      </c>
      <c r="G343" s="12">
        <v>173</v>
      </c>
      <c r="H343" s="155">
        <f t="shared" si="23"/>
        <v>0</v>
      </c>
      <c r="I343" s="12">
        <v>173</v>
      </c>
      <c r="J343" s="12">
        <v>173</v>
      </c>
      <c r="K343" s="188">
        <f t="shared" si="24"/>
        <v>0</v>
      </c>
      <c r="L343" s="25"/>
    </row>
    <row r="344" spans="1:12" ht="38.25" customHeight="1" hidden="1">
      <c r="A344" s="94">
        <v>2</v>
      </c>
      <c r="B344" s="95" t="s">
        <v>210</v>
      </c>
      <c r="C344" s="12">
        <v>270</v>
      </c>
      <c r="D344" s="12">
        <v>270</v>
      </c>
      <c r="E344" s="9">
        <f t="shared" si="21"/>
        <v>0</v>
      </c>
      <c r="F344" s="89">
        <f t="shared" si="22"/>
        <v>0</v>
      </c>
      <c r="G344" s="12">
        <v>270</v>
      </c>
      <c r="H344" s="155">
        <f t="shared" si="23"/>
        <v>0</v>
      </c>
      <c r="I344" s="12">
        <v>270</v>
      </c>
      <c r="J344" s="12">
        <v>270</v>
      </c>
      <c r="K344" s="188">
        <f t="shared" si="24"/>
        <v>0</v>
      </c>
      <c r="L344" s="25"/>
    </row>
    <row r="345" spans="1:12" ht="39" customHeight="1" hidden="1">
      <c r="A345" s="94">
        <v>3</v>
      </c>
      <c r="B345" s="133" t="s">
        <v>211</v>
      </c>
      <c r="C345" s="12">
        <v>40</v>
      </c>
      <c r="D345" s="12">
        <v>40</v>
      </c>
      <c r="E345" s="9">
        <f t="shared" si="21"/>
        <v>0</v>
      </c>
      <c r="F345" s="89">
        <f t="shared" si="22"/>
        <v>0</v>
      </c>
      <c r="G345" s="12">
        <v>40</v>
      </c>
      <c r="H345" s="155">
        <f t="shared" si="23"/>
        <v>0</v>
      </c>
      <c r="I345" s="12">
        <v>40</v>
      </c>
      <c r="J345" s="12">
        <v>40</v>
      </c>
      <c r="K345" s="188">
        <f t="shared" si="24"/>
        <v>0</v>
      </c>
      <c r="L345" s="25"/>
    </row>
    <row r="346" spans="1:12" ht="39" customHeight="1" hidden="1">
      <c r="A346" s="94">
        <v>4</v>
      </c>
      <c r="B346" s="113" t="s">
        <v>212</v>
      </c>
      <c r="C346" s="12">
        <v>20</v>
      </c>
      <c r="D346" s="12">
        <v>20</v>
      </c>
      <c r="E346" s="9">
        <f t="shared" si="21"/>
        <v>0</v>
      </c>
      <c r="F346" s="89">
        <f t="shared" si="22"/>
        <v>0</v>
      </c>
      <c r="G346" s="12">
        <v>20</v>
      </c>
      <c r="H346" s="155">
        <f t="shared" si="23"/>
        <v>0</v>
      </c>
      <c r="I346" s="12">
        <v>20</v>
      </c>
      <c r="J346" s="12">
        <v>20</v>
      </c>
      <c r="K346" s="188">
        <f t="shared" si="24"/>
        <v>0</v>
      </c>
      <c r="L346" s="25"/>
    </row>
    <row r="347" spans="1:12" ht="39" customHeight="1" hidden="1">
      <c r="A347" s="94">
        <v>5</v>
      </c>
      <c r="B347" s="133" t="s">
        <v>213</v>
      </c>
      <c r="C347" s="12">
        <v>30</v>
      </c>
      <c r="D347" s="12">
        <v>30</v>
      </c>
      <c r="E347" s="9">
        <f t="shared" si="21"/>
        <v>0</v>
      </c>
      <c r="F347" s="89">
        <f t="shared" si="22"/>
        <v>0</v>
      </c>
      <c r="G347" s="12">
        <v>30</v>
      </c>
      <c r="H347" s="155">
        <f t="shared" si="23"/>
        <v>0</v>
      </c>
      <c r="I347" s="12">
        <v>30</v>
      </c>
      <c r="J347" s="12">
        <v>30</v>
      </c>
      <c r="K347" s="188">
        <f t="shared" si="24"/>
        <v>0</v>
      </c>
      <c r="L347" s="25"/>
    </row>
    <row r="348" spans="1:12" ht="39" customHeight="1" hidden="1">
      <c r="A348" s="94">
        <v>6</v>
      </c>
      <c r="B348" s="113" t="s">
        <v>216</v>
      </c>
      <c r="C348" s="12">
        <v>80</v>
      </c>
      <c r="D348" s="12">
        <v>80</v>
      </c>
      <c r="E348" s="9">
        <f t="shared" si="21"/>
        <v>0</v>
      </c>
      <c r="F348" s="89">
        <f t="shared" si="22"/>
        <v>0</v>
      </c>
      <c r="G348" s="12">
        <v>80</v>
      </c>
      <c r="H348" s="155">
        <f t="shared" si="23"/>
        <v>0</v>
      </c>
      <c r="I348" s="12">
        <v>80</v>
      </c>
      <c r="J348" s="12">
        <v>80</v>
      </c>
      <c r="K348" s="188">
        <f t="shared" si="24"/>
        <v>0</v>
      </c>
      <c r="L348" s="25"/>
    </row>
    <row r="349" spans="1:12" ht="51.75" customHeight="1" hidden="1">
      <c r="A349" s="94">
        <v>7</v>
      </c>
      <c r="B349" s="113" t="s">
        <v>214</v>
      </c>
      <c r="C349" s="12">
        <v>150</v>
      </c>
      <c r="D349" s="12">
        <v>76.99</v>
      </c>
      <c r="E349" s="9">
        <f t="shared" si="21"/>
        <v>73.01</v>
      </c>
      <c r="F349" s="89">
        <f t="shared" si="22"/>
        <v>48.67333333333333</v>
      </c>
      <c r="G349" s="12">
        <v>76.99</v>
      </c>
      <c r="H349" s="155">
        <f t="shared" si="23"/>
        <v>0</v>
      </c>
      <c r="I349" s="12">
        <v>76.99</v>
      </c>
      <c r="J349" s="12">
        <v>76.99</v>
      </c>
      <c r="K349" s="188">
        <f t="shared" si="24"/>
        <v>0</v>
      </c>
      <c r="L349" s="25"/>
    </row>
    <row r="350" spans="1:12" ht="55.5" customHeight="1" hidden="1">
      <c r="A350" s="94">
        <v>8</v>
      </c>
      <c r="B350" s="133" t="s">
        <v>215</v>
      </c>
      <c r="C350" s="12">
        <v>140</v>
      </c>
      <c r="D350" s="12">
        <v>140</v>
      </c>
      <c r="E350" s="9">
        <f t="shared" si="21"/>
        <v>0</v>
      </c>
      <c r="F350" s="89">
        <f t="shared" si="22"/>
        <v>0</v>
      </c>
      <c r="G350" s="12">
        <v>140</v>
      </c>
      <c r="H350" s="155">
        <f t="shared" si="23"/>
        <v>0</v>
      </c>
      <c r="I350" s="12">
        <v>140</v>
      </c>
      <c r="J350" s="12">
        <v>140</v>
      </c>
      <c r="K350" s="188">
        <f t="shared" si="24"/>
        <v>0</v>
      </c>
      <c r="L350" s="25"/>
    </row>
    <row r="351" spans="1:12" ht="36" customHeight="1" hidden="1">
      <c r="A351" s="94">
        <v>9</v>
      </c>
      <c r="B351" s="113" t="s">
        <v>217</v>
      </c>
      <c r="C351" s="12">
        <v>92</v>
      </c>
      <c r="D351" s="12">
        <v>92</v>
      </c>
      <c r="E351" s="9">
        <f t="shared" si="21"/>
        <v>0</v>
      </c>
      <c r="F351" s="89">
        <f t="shared" si="22"/>
        <v>0</v>
      </c>
      <c r="G351" s="12">
        <v>92</v>
      </c>
      <c r="H351" s="155">
        <f t="shared" si="23"/>
        <v>0</v>
      </c>
      <c r="I351" s="12">
        <v>92</v>
      </c>
      <c r="J351" s="12">
        <v>92</v>
      </c>
      <c r="K351" s="188">
        <f t="shared" si="24"/>
        <v>0</v>
      </c>
      <c r="L351" s="25"/>
    </row>
    <row r="352" spans="1:12" ht="33" hidden="1">
      <c r="A352" s="94">
        <v>10</v>
      </c>
      <c r="B352" s="113" t="s">
        <v>218</v>
      </c>
      <c r="C352" s="12">
        <v>90</v>
      </c>
      <c r="D352" s="12">
        <v>90</v>
      </c>
      <c r="E352" s="9">
        <f t="shared" si="21"/>
        <v>0</v>
      </c>
      <c r="F352" s="89">
        <f t="shared" si="22"/>
        <v>0</v>
      </c>
      <c r="G352" s="12">
        <v>90</v>
      </c>
      <c r="H352" s="155">
        <f t="shared" si="23"/>
        <v>0</v>
      </c>
      <c r="I352" s="12">
        <v>90</v>
      </c>
      <c r="J352" s="12">
        <v>90</v>
      </c>
      <c r="K352" s="188">
        <f t="shared" si="24"/>
        <v>0</v>
      </c>
      <c r="L352" s="25"/>
    </row>
    <row r="353" spans="1:12" ht="36" customHeight="1" hidden="1">
      <c r="A353" s="94">
        <v>11</v>
      </c>
      <c r="B353" s="113" t="s">
        <v>219</v>
      </c>
      <c r="C353" s="12">
        <v>572</v>
      </c>
      <c r="D353" s="12">
        <v>572</v>
      </c>
      <c r="E353" s="9">
        <f t="shared" si="21"/>
        <v>0</v>
      </c>
      <c r="F353" s="89">
        <f t="shared" si="22"/>
        <v>0</v>
      </c>
      <c r="G353" s="12">
        <v>572</v>
      </c>
      <c r="H353" s="155">
        <f t="shared" si="23"/>
        <v>0</v>
      </c>
      <c r="I353" s="12">
        <v>572</v>
      </c>
      <c r="J353" s="12">
        <v>572</v>
      </c>
      <c r="K353" s="188">
        <f t="shared" si="24"/>
        <v>0</v>
      </c>
      <c r="L353" s="25"/>
    </row>
    <row r="354" spans="1:12" ht="33.75" customHeight="1" hidden="1">
      <c r="A354" s="94">
        <v>12</v>
      </c>
      <c r="B354" s="113" t="s">
        <v>220</v>
      </c>
      <c r="C354" s="12">
        <v>51.3</v>
      </c>
      <c r="D354" s="12">
        <v>51.3</v>
      </c>
      <c r="E354" s="9">
        <f t="shared" si="21"/>
        <v>0</v>
      </c>
      <c r="F354" s="89">
        <f t="shared" si="22"/>
        <v>0</v>
      </c>
      <c r="G354" s="12">
        <v>51.3</v>
      </c>
      <c r="H354" s="155">
        <f t="shared" si="23"/>
        <v>0</v>
      </c>
      <c r="I354" s="12">
        <v>51.3</v>
      </c>
      <c r="J354" s="12">
        <v>51.3</v>
      </c>
      <c r="K354" s="188">
        <f t="shared" si="24"/>
        <v>0</v>
      </c>
      <c r="L354" s="25"/>
    </row>
    <row r="355" spans="1:12" ht="31.5" customHeight="1" hidden="1">
      <c r="A355" s="98">
        <v>13</v>
      </c>
      <c r="B355" s="99" t="s">
        <v>221</v>
      </c>
      <c r="C355" s="9">
        <v>40</v>
      </c>
      <c r="D355" s="9">
        <v>40</v>
      </c>
      <c r="E355" s="9">
        <f t="shared" si="21"/>
        <v>0</v>
      </c>
      <c r="F355" s="89">
        <f t="shared" si="22"/>
        <v>0</v>
      </c>
      <c r="G355" s="9">
        <v>40</v>
      </c>
      <c r="H355" s="155">
        <f t="shared" si="23"/>
        <v>0</v>
      </c>
      <c r="I355" s="9">
        <v>40</v>
      </c>
      <c r="J355" s="9">
        <v>40</v>
      </c>
      <c r="K355" s="188">
        <f t="shared" si="24"/>
        <v>0</v>
      </c>
      <c r="L355" s="25"/>
    </row>
    <row r="356" spans="1:12" ht="34.5" customHeight="1" hidden="1">
      <c r="A356" s="98">
        <v>14</v>
      </c>
      <c r="B356" s="99" t="s">
        <v>477</v>
      </c>
      <c r="C356" s="9">
        <v>77</v>
      </c>
      <c r="D356" s="9">
        <v>77</v>
      </c>
      <c r="E356" s="9">
        <f t="shared" si="21"/>
        <v>0</v>
      </c>
      <c r="F356" s="89">
        <f t="shared" si="22"/>
        <v>0</v>
      </c>
      <c r="G356" s="9">
        <v>77</v>
      </c>
      <c r="H356" s="155">
        <f t="shared" si="23"/>
        <v>0</v>
      </c>
      <c r="I356" s="9">
        <v>77</v>
      </c>
      <c r="J356" s="9">
        <v>77</v>
      </c>
      <c r="K356" s="188">
        <f t="shared" si="24"/>
        <v>0</v>
      </c>
      <c r="L356" s="25"/>
    </row>
    <row r="357" spans="1:12" ht="22.5" customHeight="1" hidden="1">
      <c r="A357" s="198" t="s">
        <v>29</v>
      </c>
      <c r="B357" s="134"/>
      <c r="C357" s="71">
        <v>3048.5</v>
      </c>
      <c r="D357" s="71">
        <f>SUM(D358:D359)</f>
        <v>2926.56</v>
      </c>
      <c r="E357" s="71">
        <f t="shared" si="21"/>
        <v>121.94000000000005</v>
      </c>
      <c r="F357" s="71">
        <f t="shared" si="22"/>
        <v>4</v>
      </c>
      <c r="G357" s="71">
        <f>SUM(G358:G359)</f>
        <v>2926.09</v>
      </c>
      <c r="H357" s="71">
        <f t="shared" si="23"/>
        <v>-0.4699999999997999</v>
      </c>
      <c r="I357" s="71">
        <f>SUM(I358:I359)</f>
        <v>1717.497</v>
      </c>
      <c r="J357" s="71">
        <f>SUM(J358:J359)</f>
        <v>1717.497</v>
      </c>
      <c r="K357" s="188">
        <f t="shared" si="24"/>
        <v>1209.0629999999999</v>
      </c>
      <c r="L357" s="72"/>
    </row>
    <row r="358" spans="1:12" ht="48" customHeight="1" hidden="1">
      <c r="A358" s="94">
        <v>1</v>
      </c>
      <c r="B358" s="95" t="s">
        <v>520</v>
      </c>
      <c r="C358" s="9">
        <v>1200</v>
      </c>
      <c r="D358" s="9">
        <v>1200</v>
      </c>
      <c r="E358" s="9">
        <f t="shared" si="21"/>
        <v>0</v>
      </c>
      <c r="F358" s="89">
        <f t="shared" si="22"/>
        <v>0</v>
      </c>
      <c r="G358" s="9">
        <v>1199.53</v>
      </c>
      <c r="H358" s="155">
        <f t="shared" si="23"/>
        <v>-0.4700000000000273</v>
      </c>
      <c r="I358" s="9">
        <v>1199.537</v>
      </c>
      <c r="J358" s="9">
        <v>1199.537</v>
      </c>
      <c r="K358" s="188">
        <f t="shared" si="24"/>
        <v>0.46299999999996544</v>
      </c>
      <c r="L358" s="10"/>
    </row>
    <row r="359" spans="1:12" ht="33" hidden="1">
      <c r="A359" s="94">
        <v>2</v>
      </c>
      <c r="B359" s="95" t="s">
        <v>521</v>
      </c>
      <c r="C359" s="9">
        <v>1848.5</v>
      </c>
      <c r="D359" s="9">
        <v>1726.56</v>
      </c>
      <c r="E359" s="9">
        <f t="shared" si="21"/>
        <v>121.94000000000005</v>
      </c>
      <c r="F359" s="89">
        <f t="shared" si="22"/>
        <v>6.596700027048968</v>
      </c>
      <c r="G359" s="9">
        <v>1726.56</v>
      </c>
      <c r="H359" s="155">
        <f t="shared" si="23"/>
        <v>0</v>
      </c>
      <c r="I359" s="9">
        <v>517.96</v>
      </c>
      <c r="J359" s="9">
        <v>517.96</v>
      </c>
      <c r="K359" s="188">
        <f t="shared" si="24"/>
        <v>1208.6</v>
      </c>
      <c r="L359" s="10"/>
    </row>
    <row r="360" spans="1:12" ht="17.25" hidden="1">
      <c r="A360" s="198" t="s">
        <v>30</v>
      </c>
      <c r="B360" s="191"/>
      <c r="C360" s="71">
        <v>1198.5</v>
      </c>
      <c r="D360" s="71">
        <f>D361</f>
        <v>1150.6</v>
      </c>
      <c r="E360" s="71">
        <f t="shared" si="21"/>
        <v>47.90000000000009</v>
      </c>
      <c r="F360" s="71">
        <f t="shared" si="22"/>
        <v>3.9966624947851557</v>
      </c>
      <c r="G360" s="71">
        <f>G361</f>
        <v>1150.6</v>
      </c>
      <c r="H360" s="71">
        <f t="shared" si="23"/>
        <v>0</v>
      </c>
      <c r="I360" s="71">
        <f>I361</f>
        <v>1150.6</v>
      </c>
      <c r="J360" s="71">
        <f>J361</f>
        <v>1150.6</v>
      </c>
      <c r="K360" s="188">
        <f t="shared" si="24"/>
        <v>0</v>
      </c>
      <c r="L360" s="72"/>
    </row>
    <row r="361" spans="1:12" ht="33.75" customHeight="1" hidden="1">
      <c r="A361" s="98">
        <v>1</v>
      </c>
      <c r="B361" s="95" t="s">
        <v>67</v>
      </c>
      <c r="C361" s="9">
        <v>1198.5</v>
      </c>
      <c r="D361" s="9">
        <v>1150.6</v>
      </c>
      <c r="E361" s="9">
        <f t="shared" si="21"/>
        <v>47.90000000000009</v>
      </c>
      <c r="F361" s="89">
        <f t="shared" si="22"/>
        <v>3.9966624947851557</v>
      </c>
      <c r="G361" s="9">
        <v>1150.6</v>
      </c>
      <c r="H361" s="155">
        <f t="shared" si="23"/>
        <v>0</v>
      </c>
      <c r="I361" s="9">
        <v>1150.6</v>
      </c>
      <c r="J361" s="9">
        <v>1150.6</v>
      </c>
      <c r="K361" s="188">
        <f t="shared" si="24"/>
        <v>0</v>
      </c>
      <c r="L361" s="36"/>
    </row>
    <row r="362" spans="1:12" ht="18.75" customHeight="1" hidden="1">
      <c r="A362" s="368" t="s">
        <v>31</v>
      </c>
      <c r="B362" s="369"/>
      <c r="C362" s="78">
        <v>1498</v>
      </c>
      <c r="D362" s="78">
        <f>SUM(D363:D366)</f>
        <v>1438.1</v>
      </c>
      <c r="E362" s="73">
        <f t="shared" si="21"/>
        <v>59.90000000000009</v>
      </c>
      <c r="F362" s="73">
        <f t="shared" si="22"/>
        <v>3.998664886515357</v>
      </c>
      <c r="G362" s="78">
        <f>SUM(G363:G366)</f>
        <v>1438.1</v>
      </c>
      <c r="H362" s="73">
        <f t="shared" si="23"/>
        <v>0</v>
      </c>
      <c r="I362" s="78">
        <f>SUM(I363:I366)</f>
        <v>1438.1</v>
      </c>
      <c r="J362" s="78">
        <f>SUM(J363:J366)</f>
        <v>1438.1</v>
      </c>
      <c r="K362" s="188">
        <f t="shared" si="24"/>
        <v>0</v>
      </c>
      <c r="L362" s="79"/>
    </row>
    <row r="363" spans="1:12" ht="25.5" customHeight="1" hidden="1">
      <c r="A363" s="135">
        <v>1</v>
      </c>
      <c r="B363" s="130" t="s">
        <v>56</v>
      </c>
      <c r="C363" s="13">
        <v>393.2</v>
      </c>
      <c r="D363" s="13">
        <v>393.2</v>
      </c>
      <c r="E363" s="9">
        <f t="shared" si="21"/>
        <v>0</v>
      </c>
      <c r="F363" s="89">
        <f t="shared" si="22"/>
        <v>0</v>
      </c>
      <c r="G363" s="13">
        <v>393.2</v>
      </c>
      <c r="H363" s="155">
        <f t="shared" si="23"/>
        <v>0</v>
      </c>
      <c r="I363" s="13">
        <v>393.2</v>
      </c>
      <c r="J363" s="13">
        <v>393.2</v>
      </c>
      <c r="K363" s="188">
        <f t="shared" si="24"/>
        <v>0</v>
      </c>
      <c r="L363" s="36"/>
    </row>
    <row r="364" spans="1:12" ht="19.5" customHeight="1" hidden="1">
      <c r="A364" s="135">
        <v>2</v>
      </c>
      <c r="B364" s="130" t="s">
        <v>57</v>
      </c>
      <c r="C364" s="13">
        <v>378.7</v>
      </c>
      <c r="D364" s="13">
        <v>378.7</v>
      </c>
      <c r="E364" s="9">
        <f t="shared" si="21"/>
        <v>0</v>
      </c>
      <c r="F364" s="89">
        <f t="shared" si="22"/>
        <v>0</v>
      </c>
      <c r="G364" s="13">
        <v>378.7</v>
      </c>
      <c r="H364" s="155">
        <f t="shared" si="23"/>
        <v>0</v>
      </c>
      <c r="I364" s="13">
        <v>378.7</v>
      </c>
      <c r="J364" s="13">
        <v>378.7</v>
      </c>
      <c r="K364" s="188">
        <f t="shared" si="24"/>
        <v>0</v>
      </c>
      <c r="L364" s="36"/>
    </row>
    <row r="365" spans="1:12" ht="23.25" customHeight="1" hidden="1">
      <c r="A365" s="135">
        <v>3</v>
      </c>
      <c r="B365" s="130" t="s">
        <v>58</v>
      </c>
      <c r="C365" s="13">
        <v>399.2</v>
      </c>
      <c r="D365" s="13">
        <v>399.2</v>
      </c>
      <c r="E365" s="9">
        <f t="shared" si="21"/>
        <v>0</v>
      </c>
      <c r="F365" s="89">
        <f t="shared" si="22"/>
        <v>0</v>
      </c>
      <c r="G365" s="13">
        <v>399.2</v>
      </c>
      <c r="H365" s="155">
        <f t="shared" si="23"/>
        <v>0</v>
      </c>
      <c r="I365" s="13">
        <v>399.2</v>
      </c>
      <c r="J365" s="13">
        <v>399.2</v>
      </c>
      <c r="K365" s="188">
        <f t="shared" si="24"/>
        <v>0</v>
      </c>
      <c r="L365" s="36"/>
    </row>
    <row r="366" spans="1:12" ht="33.75" customHeight="1" hidden="1">
      <c r="A366" s="98">
        <v>4</v>
      </c>
      <c r="B366" s="130" t="s">
        <v>59</v>
      </c>
      <c r="C366" s="13">
        <v>326.9</v>
      </c>
      <c r="D366" s="13">
        <v>267</v>
      </c>
      <c r="E366" s="9">
        <f t="shared" si="21"/>
        <v>59.89999999999998</v>
      </c>
      <c r="F366" s="89">
        <f t="shared" si="22"/>
        <v>18.323646375038223</v>
      </c>
      <c r="G366" s="13">
        <v>267</v>
      </c>
      <c r="H366" s="155">
        <f t="shared" si="23"/>
        <v>0</v>
      </c>
      <c r="I366" s="13">
        <v>267</v>
      </c>
      <c r="J366" s="13">
        <v>267</v>
      </c>
      <c r="K366" s="188">
        <f t="shared" si="24"/>
        <v>0</v>
      </c>
      <c r="L366" s="36"/>
    </row>
    <row r="367" spans="1:12" ht="17.25">
      <c r="A367" s="136" t="s">
        <v>32</v>
      </c>
      <c r="B367" s="132"/>
      <c r="C367" s="85">
        <v>2417.6</v>
      </c>
      <c r="D367" s="85">
        <f>D368</f>
        <v>2320.9</v>
      </c>
      <c r="E367" s="73">
        <f t="shared" si="21"/>
        <v>96.69999999999982</v>
      </c>
      <c r="F367" s="73">
        <f t="shared" si="22"/>
        <v>3.999834546657837</v>
      </c>
      <c r="G367" s="85">
        <f>G368</f>
        <v>2417.6</v>
      </c>
      <c r="H367" s="73">
        <f t="shared" si="23"/>
        <v>96.69999999999982</v>
      </c>
      <c r="I367" s="85">
        <f>I368</f>
        <v>2320.9</v>
      </c>
      <c r="J367" s="85">
        <f>J368</f>
        <v>2417.6</v>
      </c>
      <c r="K367" s="188">
        <f t="shared" si="24"/>
        <v>0</v>
      </c>
      <c r="L367" s="79"/>
    </row>
    <row r="368" spans="1:12" ht="35.25" customHeight="1">
      <c r="A368" s="137">
        <v>1</v>
      </c>
      <c r="B368" s="95" t="s">
        <v>60</v>
      </c>
      <c r="C368" s="17">
        <v>2417.6</v>
      </c>
      <c r="D368" s="17">
        <v>2320.9</v>
      </c>
      <c r="E368" s="9">
        <f t="shared" si="21"/>
        <v>96.69999999999982</v>
      </c>
      <c r="F368" s="89">
        <f t="shared" si="22"/>
        <v>3.999834546657837</v>
      </c>
      <c r="G368" s="17">
        <v>2417.6</v>
      </c>
      <c r="H368" s="155">
        <f t="shared" si="23"/>
        <v>96.69999999999982</v>
      </c>
      <c r="I368" s="17">
        <v>2320.9</v>
      </c>
      <c r="J368" s="186">
        <v>2417.6</v>
      </c>
      <c r="K368" s="188">
        <f t="shared" si="24"/>
        <v>0</v>
      </c>
      <c r="L368" s="156" t="s">
        <v>545</v>
      </c>
    </row>
    <row r="369" spans="1:12" ht="20.25" customHeight="1" hidden="1">
      <c r="A369" s="368" t="s">
        <v>33</v>
      </c>
      <c r="B369" s="369"/>
      <c r="C369" s="73">
        <v>1617.9</v>
      </c>
      <c r="D369" s="73">
        <f>SUM(D370:D372)</f>
        <v>1553.2</v>
      </c>
      <c r="E369" s="73">
        <f t="shared" si="21"/>
        <v>64.70000000000005</v>
      </c>
      <c r="F369" s="73">
        <f t="shared" si="22"/>
        <v>3.999011063724595</v>
      </c>
      <c r="G369" s="73">
        <f>SUM(G370:G372)</f>
        <v>1099.35</v>
      </c>
      <c r="H369" s="73">
        <f t="shared" si="23"/>
        <v>-453.85000000000014</v>
      </c>
      <c r="I369" s="73">
        <f>SUM(I370:I372)</f>
        <v>1099.35</v>
      </c>
      <c r="J369" s="73">
        <f>SUM(J370:J372)</f>
        <v>1099.35</v>
      </c>
      <c r="K369" s="188">
        <f t="shared" si="24"/>
        <v>453.85000000000014</v>
      </c>
      <c r="L369" s="77"/>
    </row>
    <row r="370" spans="1:12" ht="31.5" customHeight="1" hidden="1">
      <c r="A370" s="94">
        <v>1</v>
      </c>
      <c r="B370" s="95" t="s">
        <v>531</v>
      </c>
      <c r="C370" s="12">
        <v>1320.4</v>
      </c>
      <c r="D370" s="12">
        <v>1265.9</v>
      </c>
      <c r="E370" s="9">
        <f t="shared" si="21"/>
        <v>54.5</v>
      </c>
      <c r="F370" s="89">
        <f t="shared" si="22"/>
        <v>4.127537109966667</v>
      </c>
      <c r="G370" s="12">
        <v>874.6</v>
      </c>
      <c r="H370" s="155">
        <f t="shared" si="23"/>
        <v>-391.30000000000007</v>
      </c>
      <c r="I370" s="12">
        <v>874.6</v>
      </c>
      <c r="J370" s="12">
        <v>874.6</v>
      </c>
      <c r="K370" s="188">
        <f t="shared" si="24"/>
        <v>391.30000000000007</v>
      </c>
      <c r="L370" s="10"/>
    </row>
    <row r="371" spans="1:12" ht="33.75" customHeight="1" hidden="1">
      <c r="A371" s="94">
        <v>2</v>
      </c>
      <c r="B371" s="95" t="s">
        <v>222</v>
      </c>
      <c r="C371" s="12">
        <v>254.5</v>
      </c>
      <c r="D371" s="12">
        <v>244.3</v>
      </c>
      <c r="E371" s="9">
        <f t="shared" si="21"/>
        <v>10.199999999999989</v>
      </c>
      <c r="F371" s="89">
        <f t="shared" si="22"/>
        <v>4.007858546168947</v>
      </c>
      <c r="G371" s="12">
        <v>181.75</v>
      </c>
      <c r="H371" s="155">
        <f t="shared" si="23"/>
        <v>-62.55000000000001</v>
      </c>
      <c r="I371" s="12">
        <v>181.75</v>
      </c>
      <c r="J371" s="12">
        <v>181.75</v>
      </c>
      <c r="K371" s="188">
        <f t="shared" si="24"/>
        <v>62.55000000000001</v>
      </c>
      <c r="L371" s="10"/>
    </row>
    <row r="372" spans="1:12" ht="36" customHeight="1" hidden="1">
      <c r="A372" s="94">
        <v>3</v>
      </c>
      <c r="B372" s="95" t="s">
        <v>223</v>
      </c>
      <c r="C372" s="12">
        <v>43</v>
      </c>
      <c r="D372" s="12">
        <v>43</v>
      </c>
      <c r="E372" s="9">
        <f t="shared" si="21"/>
        <v>0</v>
      </c>
      <c r="F372" s="89">
        <f t="shared" si="22"/>
        <v>0</v>
      </c>
      <c r="G372" s="12">
        <v>43</v>
      </c>
      <c r="H372" s="155">
        <f t="shared" si="23"/>
        <v>0</v>
      </c>
      <c r="I372" s="12">
        <v>43</v>
      </c>
      <c r="J372" s="12">
        <v>43</v>
      </c>
      <c r="K372" s="188">
        <f t="shared" si="24"/>
        <v>0</v>
      </c>
      <c r="L372" s="10"/>
    </row>
    <row r="373" spans="1:12" ht="18.75" customHeight="1">
      <c r="A373" s="368" t="s">
        <v>34</v>
      </c>
      <c r="B373" s="369"/>
      <c r="C373" s="73">
        <v>1932.5</v>
      </c>
      <c r="D373" s="73">
        <f>SUM(D374:D375)</f>
        <v>1855.2</v>
      </c>
      <c r="E373" s="73">
        <f>C373-D373</f>
        <v>77.29999999999995</v>
      </c>
      <c r="F373" s="73">
        <f>100-D373/C373*100</f>
        <v>3.999999999999986</v>
      </c>
      <c r="G373" s="73">
        <f>SUM(G374:G375)</f>
        <v>1932.5</v>
      </c>
      <c r="H373" s="73">
        <f>G373-D373</f>
        <v>77.29999999999995</v>
      </c>
      <c r="I373" s="73">
        <f>SUM(I374:I375)</f>
        <v>1843.7</v>
      </c>
      <c r="J373" s="73">
        <f>SUM(J374:J375)</f>
        <v>1843.7</v>
      </c>
      <c r="K373" s="188">
        <f t="shared" si="24"/>
        <v>11.5</v>
      </c>
      <c r="L373" s="77"/>
    </row>
    <row r="374" spans="1:12" ht="34.5" customHeight="1">
      <c r="A374" s="98">
        <v>1</v>
      </c>
      <c r="B374" s="99" t="s">
        <v>66</v>
      </c>
      <c r="C374" s="9">
        <v>1843.7</v>
      </c>
      <c r="D374" s="9">
        <v>1843.7</v>
      </c>
      <c r="E374" s="9">
        <f>C374-D374</f>
        <v>0</v>
      </c>
      <c r="F374" s="89">
        <f aca="true" t="shared" si="25" ref="F374:F437">100-D374/C374*100</f>
        <v>0</v>
      </c>
      <c r="G374" s="9">
        <v>1843.7</v>
      </c>
      <c r="H374" s="89">
        <f aca="true" t="shared" si="26" ref="H374:H437">G374-D374</f>
        <v>0</v>
      </c>
      <c r="I374" s="9">
        <v>1843.7</v>
      </c>
      <c r="J374" s="9">
        <v>1843.7</v>
      </c>
      <c r="K374" s="188">
        <f t="shared" si="24"/>
        <v>0</v>
      </c>
      <c r="L374" s="10"/>
    </row>
    <row r="375" spans="1:12" ht="49.5" customHeight="1">
      <c r="A375" s="94">
        <v>2</v>
      </c>
      <c r="B375" s="99" t="s">
        <v>528</v>
      </c>
      <c r="C375" s="9">
        <v>88.8</v>
      </c>
      <c r="D375" s="9">
        <v>11.5</v>
      </c>
      <c r="E375" s="9">
        <f>C375-D375</f>
        <v>77.3</v>
      </c>
      <c r="F375" s="89">
        <f t="shared" si="25"/>
        <v>87.04954954954955</v>
      </c>
      <c r="G375" s="9">
        <v>88.8</v>
      </c>
      <c r="H375" s="89">
        <f t="shared" si="26"/>
        <v>77.3</v>
      </c>
      <c r="I375" s="9">
        <v>0</v>
      </c>
      <c r="J375" s="9">
        <v>0</v>
      </c>
      <c r="K375" s="188">
        <f t="shared" si="24"/>
        <v>11.5</v>
      </c>
      <c r="L375" s="91"/>
    </row>
    <row r="376" spans="1:12" ht="21" customHeight="1" hidden="1">
      <c r="A376" s="96" t="s">
        <v>35</v>
      </c>
      <c r="B376" s="197"/>
      <c r="C376" s="73">
        <v>1607.6</v>
      </c>
      <c r="D376" s="73">
        <f>SUM(D377:D378)</f>
        <v>1543.3000000000002</v>
      </c>
      <c r="E376" s="73">
        <f aca="true" t="shared" si="27" ref="E376:E440">C376-D376</f>
        <v>64.29999999999973</v>
      </c>
      <c r="F376" s="73">
        <f t="shared" si="25"/>
        <v>3.999751181886026</v>
      </c>
      <c r="G376" s="73">
        <f>SUM(G377:G378)</f>
        <v>1543.3000000000002</v>
      </c>
      <c r="H376" s="73">
        <f t="shared" si="26"/>
        <v>0</v>
      </c>
      <c r="I376" s="73">
        <f>SUM(I377:I378)</f>
        <v>1543.3000000000002</v>
      </c>
      <c r="J376" s="73">
        <f>SUM(J377:J378)</f>
        <v>1543.3000000000002</v>
      </c>
      <c r="K376" s="188">
        <f t="shared" si="24"/>
        <v>0</v>
      </c>
      <c r="L376" s="77"/>
    </row>
    <row r="377" spans="1:12" ht="20.25" customHeight="1" hidden="1">
      <c r="A377" s="98">
        <v>1</v>
      </c>
      <c r="B377" s="99" t="s">
        <v>75</v>
      </c>
      <c r="C377" s="9">
        <v>1296.4</v>
      </c>
      <c r="D377" s="9">
        <v>1296.4</v>
      </c>
      <c r="E377" s="9">
        <f t="shared" si="27"/>
        <v>0</v>
      </c>
      <c r="F377" s="89">
        <f t="shared" si="25"/>
        <v>0</v>
      </c>
      <c r="G377" s="9">
        <v>1296.4</v>
      </c>
      <c r="H377" s="89">
        <f t="shared" si="26"/>
        <v>0</v>
      </c>
      <c r="I377" s="9">
        <v>1296.4</v>
      </c>
      <c r="J377" s="9">
        <v>1296.4</v>
      </c>
      <c r="K377" s="188">
        <f t="shared" si="24"/>
        <v>0</v>
      </c>
      <c r="L377" s="10"/>
    </row>
    <row r="378" spans="1:12" ht="33" customHeight="1" hidden="1">
      <c r="A378" s="98">
        <v>2</v>
      </c>
      <c r="B378" s="99" t="s">
        <v>483</v>
      </c>
      <c r="C378" s="9">
        <v>311.2</v>
      </c>
      <c r="D378" s="9">
        <v>246.9</v>
      </c>
      <c r="E378" s="9">
        <f t="shared" si="27"/>
        <v>64.29999999999998</v>
      </c>
      <c r="F378" s="89">
        <f t="shared" si="25"/>
        <v>20.661953727506415</v>
      </c>
      <c r="G378" s="9">
        <v>246.9</v>
      </c>
      <c r="H378" s="89">
        <f t="shared" si="26"/>
        <v>0</v>
      </c>
      <c r="I378" s="9">
        <v>246.9</v>
      </c>
      <c r="J378" s="9">
        <v>246.9</v>
      </c>
      <c r="K378" s="188">
        <f t="shared" si="24"/>
        <v>0</v>
      </c>
      <c r="L378" s="10"/>
    </row>
    <row r="379" spans="1:12" ht="22.5" customHeight="1" hidden="1">
      <c r="A379" s="368" t="s">
        <v>36</v>
      </c>
      <c r="B379" s="369"/>
      <c r="C379" s="73">
        <v>1105.3</v>
      </c>
      <c r="D379" s="73">
        <f>SUM(D380:D381)</f>
        <v>1061.06</v>
      </c>
      <c r="E379" s="73">
        <f t="shared" si="27"/>
        <v>44.24000000000001</v>
      </c>
      <c r="F379" s="73">
        <f t="shared" si="25"/>
        <v>4.002533248891709</v>
      </c>
      <c r="G379" s="73">
        <f>SUM(G380:G381)</f>
        <v>586</v>
      </c>
      <c r="H379" s="73">
        <f t="shared" si="26"/>
        <v>-475.05999999999995</v>
      </c>
      <c r="I379" s="73">
        <f>SUM(I380:I381)</f>
        <v>0</v>
      </c>
      <c r="J379" s="73">
        <f>SUM(J380:J381)</f>
        <v>0</v>
      </c>
      <c r="K379" s="188">
        <f t="shared" si="24"/>
        <v>1061.06</v>
      </c>
      <c r="L379" s="77"/>
    </row>
    <row r="380" spans="1:12" ht="34.5" customHeight="1" hidden="1">
      <c r="A380" s="129">
        <v>1</v>
      </c>
      <c r="B380" s="95" t="s">
        <v>68</v>
      </c>
      <c r="C380" s="12">
        <v>519.3</v>
      </c>
      <c r="D380" s="12">
        <v>498.5</v>
      </c>
      <c r="E380" s="9">
        <f t="shared" si="27"/>
        <v>20.799999999999955</v>
      </c>
      <c r="F380" s="89">
        <f t="shared" si="25"/>
        <v>4.005391873676089</v>
      </c>
      <c r="G380" s="12">
        <v>0</v>
      </c>
      <c r="H380" s="89">
        <f t="shared" si="26"/>
        <v>-498.5</v>
      </c>
      <c r="I380" s="12">
        <v>0</v>
      </c>
      <c r="J380" s="12">
        <v>0</v>
      </c>
      <c r="K380" s="188">
        <f t="shared" si="24"/>
        <v>498.5</v>
      </c>
      <c r="L380" s="10"/>
    </row>
    <row r="381" spans="1:12" ht="32.25" customHeight="1" hidden="1">
      <c r="A381" s="129">
        <v>2</v>
      </c>
      <c r="B381" s="113" t="s">
        <v>69</v>
      </c>
      <c r="C381" s="12">
        <v>586</v>
      </c>
      <c r="D381" s="12">
        <v>562.56</v>
      </c>
      <c r="E381" s="9">
        <f t="shared" si="27"/>
        <v>23.440000000000055</v>
      </c>
      <c r="F381" s="89">
        <f t="shared" si="25"/>
        <v>4.000000000000014</v>
      </c>
      <c r="G381" s="12">
        <v>586</v>
      </c>
      <c r="H381" s="89">
        <f t="shared" si="26"/>
        <v>23.440000000000055</v>
      </c>
      <c r="I381" s="12">
        <v>0</v>
      </c>
      <c r="J381" s="12">
        <v>0</v>
      </c>
      <c r="K381" s="188">
        <f t="shared" si="24"/>
        <v>562.56</v>
      </c>
      <c r="L381" s="10"/>
    </row>
    <row r="382" spans="1:12" ht="23.25" customHeight="1">
      <c r="A382" s="368" t="s">
        <v>37</v>
      </c>
      <c r="B382" s="369"/>
      <c r="C382" s="73">
        <v>2774.8</v>
      </c>
      <c r="D382" s="73">
        <f>SUM(D383:D399)</f>
        <v>2663.8</v>
      </c>
      <c r="E382" s="73">
        <f t="shared" si="27"/>
        <v>111</v>
      </c>
      <c r="F382" s="73">
        <f t="shared" si="25"/>
        <v>4.000288309067329</v>
      </c>
      <c r="G382" s="73">
        <f>SUM(G383:G399)</f>
        <v>2774.8</v>
      </c>
      <c r="H382" s="73">
        <f t="shared" si="26"/>
        <v>111</v>
      </c>
      <c r="I382" s="73">
        <f>SUM(I383:I399)</f>
        <v>2463.8</v>
      </c>
      <c r="J382" s="73">
        <f>SUM(J383:J399)</f>
        <v>2130.3</v>
      </c>
      <c r="K382" s="188">
        <f t="shared" si="24"/>
        <v>200</v>
      </c>
      <c r="L382" s="77"/>
    </row>
    <row r="383" spans="1:12" ht="33.75" customHeight="1">
      <c r="A383" s="138">
        <v>1</v>
      </c>
      <c r="B383" s="126" t="s">
        <v>224</v>
      </c>
      <c r="C383" s="9">
        <v>200</v>
      </c>
      <c r="D383" s="9">
        <v>200</v>
      </c>
      <c r="E383" s="9">
        <f t="shared" si="27"/>
        <v>0</v>
      </c>
      <c r="F383" s="89">
        <f t="shared" si="25"/>
        <v>0</v>
      </c>
      <c r="G383" s="9">
        <v>200</v>
      </c>
      <c r="H383" s="89">
        <f t="shared" si="26"/>
        <v>0</v>
      </c>
      <c r="I383" s="9">
        <v>200</v>
      </c>
      <c r="J383" s="9">
        <v>200</v>
      </c>
      <c r="K383" s="188">
        <f t="shared" si="24"/>
        <v>0</v>
      </c>
      <c r="L383" s="10"/>
    </row>
    <row r="384" spans="1:12" ht="51.75" customHeight="1">
      <c r="A384" s="138">
        <v>2</v>
      </c>
      <c r="B384" s="126" t="s">
        <v>406</v>
      </c>
      <c r="C384" s="9">
        <v>200</v>
      </c>
      <c r="D384" s="9">
        <v>200</v>
      </c>
      <c r="E384" s="9">
        <f t="shared" si="27"/>
        <v>0</v>
      </c>
      <c r="F384" s="89">
        <f t="shared" si="25"/>
        <v>0</v>
      </c>
      <c r="G384" s="9">
        <v>200</v>
      </c>
      <c r="H384" s="89">
        <f t="shared" si="26"/>
        <v>0</v>
      </c>
      <c r="I384" s="9">
        <v>200</v>
      </c>
      <c r="J384" s="9">
        <v>50</v>
      </c>
      <c r="K384" s="188">
        <f t="shared" si="24"/>
        <v>0</v>
      </c>
      <c r="L384" s="10"/>
    </row>
    <row r="385" spans="1:12" ht="26.25" customHeight="1">
      <c r="A385" s="138">
        <v>3</v>
      </c>
      <c r="B385" s="126" t="s">
        <v>225</v>
      </c>
      <c r="C385" s="9">
        <v>200</v>
      </c>
      <c r="D385" s="9">
        <v>200</v>
      </c>
      <c r="E385" s="9">
        <f t="shared" si="27"/>
        <v>0</v>
      </c>
      <c r="F385" s="89">
        <f t="shared" si="25"/>
        <v>0</v>
      </c>
      <c r="G385" s="9">
        <v>200</v>
      </c>
      <c r="H385" s="89">
        <f t="shared" si="26"/>
        <v>0</v>
      </c>
      <c r="I385" s="9">
        <v>200</v>
      </c>
      <c r="J385" s="9">
        <v>200</v>
      </c>
      <c r="K385" s="188">
        <f t="shared" si="24"/>
        <v>0</v>
      </c>
      <c r="L385" s="10"/>
    </row>
    <row r="386" spans="1:12" ht="22.5" customHeight="1">
      <c r="A386" s="138">
        <v>4</v>
      </c>
      <c r="B386" s="126" t="s">
        <v>407</v>
      </c>
      <c r="C386" s="9">
        <v>200</v>
      </c>
      <c r="D386" s="9">
        <v>200</v>
      </c>
      <c r="E386" s="9">
        <f t="shared" si="27"/>
        <v>0</v>
      </c>
      <c r="F386" s="89">
        <f t="shared" si="25"/>
        <v>0</v>
      </c>
      <c r="G386" s="9">
        <v>200</v>
      </c>
      <c r="H386" s="89">
        <f t="shared" si="26"/>
        <v>0</v>
      </c>
      <c r="I386" s="9">
        <v>200</v>
      </c>
      <c r="J386" s="9">
        <v>200</v>
      </c>
      <c r="K386" s="188">
        <f t="shared" si="24"/>
        <v>0</v>
      </c>
      <c r="L386" s="10"/>
    </row>
    <row r="387" spans="1:12" ht="54.75" customHeight="1">
      <c r="A387" s="138">
        <v>5</v>
      </c>
      <c r="B387" s="126" t="s">
        <v>226</v>
      </c>
      <c r="C387" s="9">
        <v>238.7</v>
      </c>
      <c r="D387" s="9">
        <v>127.7</v>
      </c>
      <c r="E387" s="9">
        <f t="shared" si="27"/>
        <v>110.99999999999999</v>
      </c>
      <c r="F387" s="89">
        <f t="shared" si="25"/>
        <v>46.50188521156263</v>
      </c>
      <c r="G387" s="9">
        <v>238.7</v>
      </c>
      <c r="H387" s="89">
        <f t="shared" si="26"/>
        <v>110.99999999999999</v>
      </c>
      <c r="I387" s="9">
        <v>100</v>
      </c>
      <c r="J387" s="9">
        <v>100</v>
      </c>
      <c r="K387" s="188">
        <f t="shared" si="24"/>
        <v>27.700000000000003</v>
      </c>
      <c r="L387" s="10"/>
    </row>
    <row r="388" spans="1:12" ht="33" customHeight="1">
      <c r="A388" s="103">
        <v>6</v>
      </c>
      <c r="B388" s="139" t="s">
        <v>229</v>
      </c>
      <c r="C388" s="9">
        <v>100</v>
      </c>
      <c r="D388" s="9">
        <v>100</v>
      </c>
      <c r="E388" s="9">
        <f t="shared" si="27"/>
        <v>0</v>
      </c>
      <c r="F388" s="89">
        <f t="shared" si="25"/>
        <v>0</v>
      </c>
      <c r="G388" s="9">
        <v>100</v>
      </c>
      <c r="H388" s="89">
        <f t="shared" si="26"/>
        <v>0</v>
      </c>
      <c r="I388" s="9">
        <v>100</v>
      </c>
      <c r="J388" s="9">
        <v>100</v>
      </c>
      <c r="K388" s="188">
        <f t="shared" si="24"/>
        <v>0</v>
      </c>
      <c r="L388" s="10"/>
    </row>
    <row r="389" spans="1:12" ht="37.5" customHeight="1">
      <c r="A389" s="98">
        <v>7</v>
      </c>
      <c r="B389" s="140" t="s">
        <v>228</v>
      </c>
      <c r="C389" s="9">
        <v>100</v>
      </c>
      <c r="D389" s="9">
        <v>100</v>
      </c>
      <c r="E389" s="9">
        <f t="shared" si="27"/>
        <v>0</v>
      </c>
      <c r="F389" s="89">
        <f t="shared" si="25"/>
        <v>0</v>
      </c>
      <c r="G389" s="9">
        <v>100</v>
      </c>
      <c r="H389" s="89">
        <f t="shared" si="26"/>
        <v>0</v>
      </c>
      <c r="I389" s="9">
        <v>100</v>
      </c>
      <c r="J389" s="9">
        <v>100</v>
      </c>
      <c r="K389" s="188">
        <f t="shared" si="24"/>
        <v>0</v>
      </c>
      <c r="L389" s="10"/>
    </row>
    <row r="390" spans="1:12" ht="40.5" customHeight="1">
      <c r="A390" s="98">
        <v>8</v>
      </c>
      <c r="B390" s="140" t="s">
        <v>227</v>
      </c>
      <c r="C390" s="9">
        <v>100</v>
      </c>
      <c r="D390" s="9">
        <v>100</v>
      </c>
      <c r="E390" s="9">
        <f t="shared" si="27"/>
        <v>0</v>
      </c>
      <c r="F390" s="89">
        <f t="shared" si="25"/>
        <v>0</v>
      </c>
      <c r="G390" s="9">
        <v>100</v>
      </c>
      <c r="H390" s="89">
        <f t="shared" si="26"/>
        <v>0</v>
      </c>
      <c r="I390" s="9">
        <v>100</v>
      </c>
      <c r="J390" s="9">
        <v>100</v>
      </c>
      <c r="K390" s="188">
        <f t="shared" si="24"/>
        <v>0</v>
      </c>
      <c r="L390" s="10"/>
    </row>
    <row r="391" spans="1:12" ht="39" customHeight="1">
      <c r="A391" s="98">
        <v>9</v>
      </c>
      <c r="B391" s="140" t="s">
        <v>230</v>
      </c>
      <c r="C391" s="9">
        <v>200</v>
      </c>
      <c r="D391" s="9">
        <v>200</v>
      </c>
      <c r="E391" s="9">
        <f t="shared" si="27"/>
        <v>0</v>
      </c>
      <c r="F391" s="89">
        <f t="shared" si="25"/>
        <v>0</v>
      </c>
      <c r="G391" s="9">
        <v>200</v>
      </c>
      <c r="H391" s="89">
        <f t="shared" si="26"/>
        <v>0</v>
      </c>
      <c r="I391" s="9">
        <v>200</v>
      </c>
      <c r="J391" s="9">
        <v>200</v>
      </c>
      <c r="K391" s="188">
        <f t="shared" si="24"/>
        <v>0</v>
      </c>
      <c r="L391" s="10"/>
    </row>
    <row r="392" spans="1:12" ht="36" customHeight="1">
      <c r="A392" s="98">
        <v>10</v>
      </c>
      <c r="B392" s="140" t="s">
        <v>231</v>
      </c>
      <c r="C392" s="9">
        <v>200</v>
      </c>
      <c r="D392" s="9">
        <v>200</v>
      </c>
      <c r="E392" s="9">
        <f t="shared" si="27"/>
        <v>0</v>
      </c>
      <c r="F392" s="89">
        <f t="shared" si="25"/>
        <v>0</v>
      </c>
      <c r="G392" s="9">
        <v>200</v>
      </c>
      <c r="H392" s="89">
        <f t="shared" si="26"/>
        <v>0</v>
      </c>
      <c r="I392" s="9">
        <v>200</v>
      </c>
      <c r="J392" s="9">
        <v>200</v>
      </c>
      <c r="K392" s="188">
        <f aca="true" t="shared" si="28" ref="K392:K455">D392-I392</f>
        <v>0</v>
      </c>
      <c r="L392" s="10"/>
    </row>
    <row r="393" spans="1:12" ht="44.25" customHeight="1">
      <c r="A393" s="98">
        <v>11</v>
      </c>
      <c r="B393" s="140" t="s">
        <v>232</v>
      </c>
      <c r="C393" s="9">
        <v>200</v>
      </c>
      <c r="D393" s="9">
        <v>200</v>
      </c>
      <c r="E393" s="9">
        <f t="shared" si="27"/>
        <v>0</v>
      </c>
      <c r="F393" s="89">
        <f t="shared" si="25"/>
        <v>0</v>
      </c>
      <c r="G393" s="9">
        <v>200</v>
      </c>
      <c r="H393" s="89">
        <f t="shared" si="26"/>
        <v>0</v>
      </c>
      <c r="I393" s="9">
        <v>200</v>
      </c>
      <c r="J393" s="9">
        <v>200</v>
      </c>
      <c r="K393" s="188">
        <f t="shared" si="28"/>
        <v>0</v>
      </c>
      <c r="L393" s="10"/>
    </row>
    <row r="394" spans="1:12" ht="36" customHeight="1">
      <c r="A394" s="98">
        <v>12</v>
      </c>
      <c r="B394" s="140" t="s">
        <v>233</v>
      </c>
      <c r="C394" s="9">
        <v>100</v>
      </c>
      <c r="D394" s="9">
        <v>100</v>
      </c>
      <c r="E394" s="9">
        <f t="shared" si="27"/>
        <v>0</v>
      </c>
      <c r="F394" s="89">
        <f t="shared" si="25"/>
        <v>0</v>
      </c>
      <c r="G394" s="9">
        <v>100</v>
      </c>
      <c r="H394" s="89">
        <f t="shared" si="26"/>
        <v>0</v>
      </c>
      <c r="I394" s="9">
        <v>100</v>
      </c>
      <c r="J394" s="9">
        <v>100</v>
      </c>
      <c r="K394" s="188">
        <f t="shared" si="28"/>
        <v>0</v>
      </c>
      <c r="L394" s="10"/>
    </row>
    <row r="395" spans="1:12" ht="33">
      <c r="A395" s="129">
        <v>13</v>
      </c>
      <c r="B395" s="140" t="s">
        <v>510</v>
      </c>
      <c r="C395" s="26">
        <v>100</v>
      </c>
      <c r="D395" s="26">
        <v>100</v>
      </c>
      <c r="E395" s="9">
        <f t="shared" si="27"/>
        <v>0</v>
      </c>
      <c r="F395" s="89">
        <f t="shared" si="25"/>
        <v>0</v>
      </c>
      <c r="G395" s="26">
        <v>100</v>
      </c>
      <c r="H395" s="89">
        <f t="shared" si="26"/>
        <v>0</v>
      </c>
      <c r="I395" s="26">
        <v>100</v>
      </c>
      <c r="J395" s="26">
        <v>100</v>
      </c>
      <c r="K395" s="188">
        <f t="shared" si="28"/>
        <v>0</v>
      </c>
      <c r="L395" s="10"/>
    </row>
    <row r="396" spans="1:12" ht="35.25" customHeight="1">
      <c r="A396" s="129">
        <v>14</v>
      </c>
      <c r="B396" s="141" t="s">
        <v>234</v>
      </c>
      <c r="C396" s="26">
        <v>200</v>
      </c>
      <c r="D396" s="26">
        <v>200</v>
      </c>
      <c r="E396" s="9">
        <f t="shared" si="27"/>
        <v>0</v>
      </c>
      <c r="F396" s="89">
        <f t="shared" si="25"/>
        <v>0</v>
      </c>
      <c r="G396" s="26">
        <v>200</v>
      </c>
      <c r="H396" s="89">
        <f t="shared" si="26"/>
        <v>0</v>
      </c>
      <c r="I396" s="26">
        <v>200</v>
      </c>
      <c r="J396" s="26">
        <v>200</v>
      </c>
      <c r="K396" s="188">
        <f t="shared" si="28"/>
        <v>0</v>
      </c>
      <c r="L396" s="10"/>
    </row>
    <row r="397" spans="1:12" ht="69" customHeight="1">
      <c r="A397" s="129">
        <v>15</v>
      </c>
      <c r="B397" s="141" t="s">
        <v>235</v>
      </c>
      <c r="C397" s="26">
        <v>183.5</v>
      </c>
      <c r="D397" s="26">
        <v>183.5</v>
      </c>
      <c r="E397" s="9">
        <f t="shared" si="27"/>
        <v>0</v>
      </c>
      <c r="F397" s="89">
        <f t="shared" si="25"/>
        <v>0</v>
      </c>
      <c r="G397" s="26">
        <v>183.5</v>
      </c>
      <c r="H397" s="89">
        <f t="shared" si="26"/>
        <v>0</v>
      </c>
      <c r="I397" s="26">
        <v>183.5</v>
      </c>
      <c r="J397" s="26">
        <v>0</v>
      </c>
      <c r="K397" s="188">
        <f t="shared" si="28"/>
        <v>0</v>
      </c>
      <c r="L397" s="10"/>
    </row>
    <row r="398" spans="1:12" ht="53.25" customHeight="1">
      <c r="A398" s="129">
        <v>16</v>
      </c>
      <c r="B398" s="141" t="s">
        <v>236</v>
      </c>
      <c r="C398" s="26">
        <v>172.3</v>
      </c>
      <c r="D398" s="26">
        <v>172.3</v>
      </c>
      <c r="E398" s="9">
        <f t="shared" si="27"/>
        <v>0</v>
      </c>
      <c r="F398" s="89">
        <f t="shared" si="25"/>
        <v>0</v>
      </c>
      <c r="G398" s="26">
        <v>172.3</v>
      </c>
      <c r="H398" s="89">
        <f t="shared" si="26"/>
        <v>0</v>
      </c>
      <c r="I398" s="26">
        <v>0</v>
      </c>
      <c r="J398" s="26">
        <v>0</v>
      </c>
      <c r="K398" s="188">
        <f t="shared" si="28"/>
        <v>172.3</v>
      </c>
      <c r="L398" s="10"/>
    </row>
    <row r="399" spans="1:12" ht="34.5" customHeight="1">
      <c r="A399" s="129">
        <v>17</v>
      </c>
      <c r="B399" s="140" t="s">
        <v>500</v>
      </c>
      <c r="C399" s="26">
        <v>80.3</v>
      </c>
      <c r="D399" s="26">
        <v>80.3</v>
      </c>
      <c r="E399" s="9">
        <f t="shared" si="27"/>
        <v>0</v>
      </c>
      <c r="F399" s="89">
        <f t="shared" si="25"/>
        <v>0</v>
      </c>
      <c r="G399" s="26">
        <v>80.3</v>
      </c>
      <c r="H399" s="89">
        <f t="shared" si="26"/>
        <v>0</v>
      </c>
      <c r="I399" s="26">
        <v>80.3</v>
      </c>
      <c r="J399" s="26">
        <v>80.3</v>
      </c>
      <c r="K399" s="188">
        <f t="shared" si="28"/>
        <v>0</v>
      </c>
      <c r="L399" s="10"/>
    </row>
    <row r="400" spans="1:12" ht="21.75" customHeight="1" hidden="1">
      <c r="A400" s="96" t="s">
        <v>38</v>
      </c>
      <c r="B400" s="197"/>
      <c r="C400" s="73">
        <v>3511.3</v>
      </c>
      <c r="D400" s="73">
        <f>D401</f>
        <v>3370.8</v>
      </c>
      <c r="E400" s="73">
        <f t="shared" si="27"/>
        <v>140.5</v>
      </c>
      <c r="F400" s="73">
        <f t="shared" si="25"/>
        <v>4.001367015065654</v>
      </c>
      <c r="G400" s="73">
        <f>G401</f>
        <v>3370.8</v>
      </c>
      <c r="H400" s="73">
        <f t="shared" si="26"/>
        <v>0</v>
      </c>
      <c r="I400" s="73">
        <f>I401</f>
        <v>3370.8</v>
      </c>
      <c r="J400" s="73">
        <f>J401</f>
        <v>1532.1</v>
      </c>
      <c r="K400" s="188">
        <f t="shared" si="28"/>
        <v>0</v>
      </c>
      <c r="L400" s="86"/>
    </row>
    <row r="401" spans="1:12" ht="74.25" customHeight="1" hidden="1">
      <c r="A401" s="98">
        <v>1</v>
      </c>
      <c r="B401" s="99" t="s">
        <v>471</v>
      </c>
      <c r="C401" s="9">
        <v>3511.3</v>
      </c>
      <c r="D401" s="9">
        <v>3370.8</v>
      </c>
      <c r="E401" s="9">
        <f t="shared" si="27"/>
        <v>140.5</v>
      </c>
      <c r="F401" s="89">
        <f t="shared" si="25"/>
        <v>4.001367015065654</v>
      </c>
      <c r="G401" s="9">
        <v>3370.8</v>
      </c>
      <c r="H401" s="89">
        <f t="shared" si="26"/>
        <v>0</v>
      </c>
      <c r="I401" s="9">
        <v>3370.8</v>
      </c>
      <c r="J401" s="9">
        <v>1532.1</v>
      </c>
      <c r="K401" s="188">
        <f t="shared" si="28"/>
        <v>0</v>
      </c>
      <c r="L401" s="10"/>
    </row>
    <row r="402" spans="1:12" ht="17.25">
      <c r="A402" s="368" t="s">
        <v>39</v>
      </c>
      <c r="B402" s="369"/>
      <c r="C402" s="78">
        <v>1925.2</v>
      </c>
      <c r="D402" s="78">
        <f>SUM(D403:D404)</f>
        <v>1848.2</v>
      </c>
      <c r="E402" s="73">
        <f t="shared" si="27"/>
        <v>77</v>
      </c>
      <c r="F402" s="73">
        <f t="shared" si="25"/>
        <v>3.999584458757539</v>
      </c>
      <c r="G402" s="78">
        <f>SUM(G403:G404)</f>
        <v>1925.2</v>
      </c>
      <c r="H402" s="73">
        <f t="shared" si="26"/>
        <v>77</v>
      </c>
      <c r="I402" s="78">
        <f>SUM(I403:I404)</f>
        <v>425.2</v>
      </c>
      <c r="J402" s="78">
        <f>SUM(J403:J404)</f>
        <v>425.2</v>
      </c>
      <c r="K402" s="188">
        <f t="shared" si="28"/>
        <v>1423</v>
      </c>
      <c r="L402" s="79"/>
    </row>
    <row r="403" spans="1:12" ht="39" customHeight="1">
      <c r="A403" s="98">
        <v>1</v>
      </c>
      <c r="B403" s="130" t="s">
        <v>61</v>
      </c>
      <c r="C403" s="17">
        <v>425.2</v>
      </c>
      <c r="D403" s="17">
        <v>425.2</v>
      </c>
      <c r="E403" s="9">
        <f t="shared" si="27"/>
        <v>0</v>
      </c>
      <c r="F403" s="89">
        <f t="shared" si="25"/>
        <v>0</v>
      </c>
      <c r="G403" s="17">
        <v>425.2</v>
      </c>
      <c r="H403" s="89">
        <f t="shared" si="26"/>
        <v>0</v>
      </c>
      <c r="I403" s="17">
        <v>425.2</v>
      </c>
      <c r="J403" s="17">
        <v>425.2</v>
      </c>
      <c r="K403" s="188">
        <f t="shared" si="28"/>
        <v>0</v>
      </c>
      <c r="L403" s="347" t="s">
        <v>571</v>
      </c>
    </row>
    <row r="404" spans="1:12" ht="33" customHeight="1">
      <c r="A404" s="98">
        <v>2</v>
      </c>
      <c r="B404" s="111" t="s">
        <v>62</v>
      </c>
      <c r="C404" s="17">
        <v>1500</v>
      </c>
      <c r="D404" s="17">
        <v>1423</v>
      </c>
      <c r="E404" s="9">
        <f t="shared" si="27"/>
        <v>77</v>
      </c>
      <c r="F404" s="89">
        <f t="shared" si="25"/>
        <v>5.13333333333334</v>
      </c>
      <c r="G404" s="17">
        <v>1500</v>
      </c>
      <c r="H404" s="89">
        <f t="shared" si="26"/>
        <v>77</v>
      </c>
      <c r="I404" s="17">
        <v>0</v>
      </c>
      <c r="J404" s="17">
        <v>0</v>
      </c>
      <c r="K404" s="188">
        <f t="shared" si="28"/>
        <v>1423</v>
      </c>
      <c r="L404" s="348"/>
    </row>
    <row r="405" spans="1:12" ht="17.25" hidden="1">
      <c r="A405" s="368" t="s">
        <v>40</v>
      </c>
      <c r="B405" s="369"/>
      <c r="C405" s="73">
        <f>C406+C424+C428</f>
        <v>9541.300000000001</v>
      </c>
      <c r="D405" s="73">
        <f>D406+D424+D428</f>
        <v>9159.6</v>
      </c>
      <c r="E405" s="73">
        <f t="shared" si="27"/>
        <v>381.7000000000007</v>
      </c>
      <c r="F405" s="73">
        <f t="shared" si="25"/>
        <v>4.000503076100742</v>
      </c>
      <c r="G405" s="73">
        <f>G406+G424+G428</f>
        <v>7258.000000000001</v>
      </c>
      <c r="H405" s="73">
        <f t="shared" si="26"/>
        <v>-1901.5999999999995</v>
      </c>
      <c r="I405" s="73">
        <f>I406+I424+I428</f>
        <v>7186.900000000001</v>
      </c>
      <c r="J405" s="73">
        <f>J406+J424+J428</f>
        <v>5762.8</v>
      </c>
      <c r="K405" s="188">
        <f t="shared" si="28"/>
        <v>1972.6999999999998</v>
      </c>
      <c r="L405" s="77"/>
    </row>
    <row r="406" spans="1:12" ht="21.75" customHeight="1" hidden="1">
      <c r="A406" s="100"/>
      <c r="B406" s="114" t="s">
        <v>41</v>
      </c>
      <c r="C406" s="19">
        <f>SUM(C407:C423)</f>
        <v>8118.000000000001</v>
      </c>
      <c r="D406" s="19">
        <f>SUM(D407:D423)</f>
        <v>7760.900000000001</v>
      </c>
      <c r="E406" s="155">
        <f t="shared" si="27"/>
        <v>357.10000000000036</v>
      </c>
      <c r="F406" s="155">
        <f t="shared" si="25"/>
        <v>4.398866715939889</v>
      </c>
      <c r="G406" s="185">
        <f>SUM(G407:G423)</f>
        <v>6142.700000000001</v>
      </c>
      <c r="H406" s="155">
        <f t="shared" si="26"/>
        <v>-1618.1999999999998</v>
      </c>
      <c r="I406" s="19">
        <f>SUM(I407:I423)</f>
        <v>6072.200000000001</v>
      </c>
      <c r="J406" s="19">
        <f>SUM(J407:J423)</f>
        <v>4648.1</v>
      </c>
      <c r="K406" s="188">
        <f t="shared" si="28"/>
        <v>1688.6999999999998</v>
      </c>
      <c r="L406" s="8"/>
    </row>
    <row r="407" spans="1:12" ht="66.75" hidden="1">
      <c r="A407" s="98">
        <v>1</v>
      </c>
      <c r="B407" s="95" t="s">
        <v>368</v>
      </c>
      <c r="C407" s="17">
        <v>983.6</v>
      </c>
      <c r="D407" s="17">
        <v>983.6</v>
      </c>
      <c r="E407" s="9">
        <f t="shared" si="27"/>
        <v>0</v>
      </c>
      <c r="F407" s="89">
        <f t="shared" si="25"/>
        <v>0</v>
      </c>
      <c r="G407" s="17">
        <v>0</v>
      </c>
      <c r="H407" s="89">
        <f t="shared" si="26"/>
        <v>-983.6</v>
      </c>
      <c r="I407" s="181">
        <v>0</v>
      </c>
      <c r="J407" s="17">
        <v>0</v>
      </c>
      <c r="K407" s="188">
        <f t="shared" si="28"/>
        <v>983.6</v>
      </c>
      <c r="L407" s="10"/>
    </row>
    <row r="408" spans="1:12" ht="33" hidden="1">
      <c r="A408" s="98">
        <v>2</v>
      </c>
      <c r="B408" s="95" t="s">
        <v>371</v>
      </c>
      <c r="C408" s="17">
        <v>330</v>
      </c>
      <c r="D408" s="17">
        <v>330</v>
      </c>
      <c r="E408" s="9">
        <f t="shared" si="27"/>
        <v>0</v>
      </c>
      <c r="F408" s="89">
        <f t="shared" si="25"/>
        <v>0</v>
      </c>
      <c r="G408" s="17">
        <v>330</v>
      </c>
      <c r="H408" s="89">
        <f t="shared" si="26"/>
        <v>0</v>
      </c>
      <c r="I408" s="181">
        <v>330</v>
      </c>
      <c r="J408" s="17">
        <v>330</v>
      </c>
      <c r="K408" s="188">
        <f t="shared" si="28"/>
        <v>0</v>
      </c>
      <c r="L408" s="13"/>
    </row>
    <row r="409" spans="1:12" ht="35.25" customHeight="1" hidden="1">
      <c r="A409" s="98">
        <v>3</v>
      </c>
      <c r="B409" s="95" t="s">
        <v>369</v>
      </c>
      <c r="C409" s="17">
        <v>730.9</v>
      </c>
      <c r="D409" s="17">
        <v>730.9</v>
      </c>
      <c r="E409" s="9">
        <f t="shared" si="27"/>
        <v>0</v>
      </c>
      <c r="F409" s="89">
        <f t="shared" si="25"/>
        <v>0</v>
      </c>
      <c r="G409" s="17">
        <v>730.9</v>
      </c>
      <c r="H409" s="89">
        <f t="shared" si="26"/>
        <v>0</v>
      </c>
      <c r="I409" s="181">
        <v>730.9</v>
      </c>
      <c r="J409" s="17">
        <v>730.9</v>
      </c>
      <c r="K409" s="188">
        <f t="shared" si="28"/>
        <v>0</v>
      </c>
      <c r="L409" s="13"/>
    </row>
    <row r="410" spans="1:12" ht="35.25" customHeight="1" hidden="1">
      <c r="A410" s="98">
        <v>4</v>
      </c>
      <c r="B410" s="95" t="s">
        <v>370</v>
      </c>
      <c r="C410" s="26">
        <v>314.3</v>
      </c>
      <c r="D410" s="26">
        <v>314.3</v>
      </c>
      <c r="E410" s="9">
        <f t="shared" si="27"/>
        <v>0</v>
      </c>
      <c r="F410" s="89">
        <f t="shared" si="25"/>
        <v>0</v>
      </c>
      <c r="G410" s="26">
        <v>314.3</v>
      </c>
      <c r="H410" s="89">
        <f t="shared" si="26"/>
        <v>0</v>
      </c>
      <c r="I410" s="181">
        <v>314.3</v>
      </c>
      <c r="J410" s="26">
        <v>314.3</v>
      </c>
      <c r="K410" s="188">
        <f t="shared" si="28"/>
        <v>0</v>
      </c>
      <c r="L410" s="13"/>
    </row>
    <row r="411" spans="1:12" ht="33" customHeight="1" hidden="1">
      <c r="A411" s="98">
        <v>5</v>
      </c>
      <c r="B411" s="95" t="s">
        <v>373</v>
      </c>
      <c r="C411" s="26">
        <v>325.4</v>
      </c>
      <c r="D411" s="26">
        <v>325.4</v>
      </c>
      <c r="E411" s="9">
        <f t="shared" si="27"/>
        <v>0</v>
      </c>
      <c r="F411" s="89">
        <f t="shared" si="25"/>
        <v>0</v>
      </c>
      <c r="G411" s="26">
        <v>325.4</v>
      </c>
      <c r="H411" s="89">
        <f t="shared" si="26"/>
        <v>0</v>
      </c>
      <c r="I411" s="181">
        <v>325.4</v>
      </c>
      <c r="J411" s="26">
        <v>325.4</v>
      </c>
      <c r="K411" s="188">
        <f t="shared" si="28"/>
        <v>0</v>
      </c>
      <c r="L411" s="13"/>
    </row>
    <row r="412" spans="1:12" ht="34.5" customHeight="1" hidden="1">
      <c r="A412" s="98">
        <v>6</v>
      </c>
      <c r="B412" s="95" t="s">
        <v>374</v>
      </c>
      <c r="C412" s="26">
        <v>170</v>
      </c>
      <c r="D412" s="26">
        <v>170</v>
      </c>
      <c r="E412" s="9">
        <f t="shared" si="27"/>
        <v>0</v>
      </c>
      <c r="F412" s="89">
        <f t="shared" si="25"/>
        <v>0</v>
      </c>
      <c r="G412" s="26">
        <v>170</v>
      </c>
      <c r="H412" s="89">
        <f t="shared" si="26"/>
        <v>0</v>
      </c>
      <c r="I412" s="181">
        <v>170</v>
      </c>
      <c r="J412" s="26">
        <v>170</v>
      </c>
      <c r="K412" s="188">
        <f t="shared" si="28"/>
        <v>0</v>
      </c>
      <c r="L412" s="10"/>
    </row>
    <row r="413" spans="1:12" ht="35.25" customHeight="1" hidden="1">
      <c r="A413" s="98">
        <v>7</v>
      </c>
      <c r="B413" s="95" t="s">
        <v>375</v>
      </c>
      <c r="C413" s="26">
        <v>170</v>
      </c>
      <c r="D413" s="26">
        <v>170</v>
      </c>
      <c r="E413" s="9">
        <f t="shared" si="27"/>
        <v>0</v>
      </c>
      <c r="F413" s="89">
        <f t="shared" si="25"/>
        <v>0</v>
      </c>
      <c r="G413" s="26">
        <v>170</v>
      </c>
      <c r="H413" s="89">
        <f t="shared" si="26"/>
        <v>0</v>
      </c>
      <c r="I413" s="181">
        <v>170</v>
      </c>
      <c r="J413" s="26">
        <v>170</v>
      </c>
      <c r="K413" s="188">
        <f t="shared" si="28"/>
        <v>0</v>
      </c>
      <c r="L413" s="10"/>
    </row>
    <row r="414" spans="1:12" ht="32.25" customHeight="1" hidden="1">
      <c r="A414" s="98">
        <v>8</v>
      </c>
      <c r="B414" s="113" t="s">
        <v>372</v>
      </c>
      <c r="C414" s="26">
        <v>170</v>
      </c>
      <c r="D414" s="26">
        <v>170</v>
      </c>
      <c r="E414" s="9">
        <f t="shared" si="27"/>
        <v>0</v>
      </c>
      <c r="F414" s="89">
        <f t="shared" si="25"/>
        <v>0</v>
      </c>
      <c r="G414" s="26">
        <v>170</v>
      </c>
      <c r="H414" s="89">
        <f t="shared" si="26"/>
        <v>0</v>
      </c>
      <c r="I414" s="181">
        <v>170</v>
      </c>
      <c r="J414" s="26">
        <v>170</v>
      </c>
      <c r="K414" s="188">
        <f t="shared" si="28"/>
        <v>0</v>
      </c>
      <c r="L414" s="10"/>
    </row>
    <row r="415" spans="1:12" ht="33" customHeight="1" hidden="1">
      <c r="A415" s="98">
        <v>9</v>
      </c>
      <c r="B415" s="95" t="s">
        <v>376</v>
      </c>
      <c r="C415" s="26">
        <v>170</v>
      </c>
      <c r="D415" s="26">
        <v>170</v>
      </c>
      <c r="E415" s="9">
        <f t="shared" si="27"/>
        <v>0</v>
      </c>
      <c r="F415" s="89">
        <f t="shared" si="25"/>
        <v>0</v>
      </c>
      <c r="G415" s="26">
        <v>170</v>
      </c>
      <c r="H415" s="89">
        <f t="shared" si="26"/>
        <v>0</v>
      </c>
      <c r="I415" s="181">
        <v>170</v>
      </c>
      <c r="J415" s="26">
        <v>170</v>
      </c>
      <c r="K415" s="188">
        <f t="shared" si="28"/>
        <v>0</v>
      </c>
      <c r="L415" s="10"/>
    </row>
    <row r="416" spans="1:12" ht="50.25" customHeight="1" hidden="1">
      <c r="A416" s="98">
        <v>10</v>
      </c>
      <c r="B416" s="95" t="s">
        <v>377</v>
      </c>
      <c r="C416" s="26">
        <v>665.8</v>
      </c>
      <c r="D416" s="26">
        <v>665.8</v>
      </c>
      <c r="E416" s="9">
        <f t="shared" si="27"/>
        <v>0</v>
      </c>
      <c r="F416" s="89">
        <f t="shared" si="25"/>
        <v>0</v>
      </c>
      <c r="G416" s="26">
        <v>0</v>
      </c>
      <c r="H416" s="89">
        <f t="shared" si="26"/>
        <v>-665.8</v>
      </c>
      <c r="I416" s="181">
        <v>0</v>
      </c>
      <c r="J416" s="26">
        <v>0</v>
      </c>
      <c r="K416" s="188">
        <f t="shared" si="28"/>
        <v>665.8</v>
      </c>
      <c r="L416" s="10"/>
    </row>
    <row r="417" spans="1:12" ht="50.25" customHeight="1" hidden="1">
      <c r="A417" s="94">
        <v>11</v>
      </c>
      <c r="B417" s="95" t="s">
        <v>378</v>
      </c>
      <c r="C417" s="26">
        <v>380</v>
      </c>
      <c r="D417" s="26">
        <v>380</v>
      </c>
      <c r="E417" s="9">
        <f t="shared" si="27"/>
        <v>0</v>
      </c>
      <c r="F417" s="89">
        <f t="shared" si="25"/>
        <v>0</v>
      </c>
      <c r="G417" s="26">
        <v>380</v>
      </c>
      <c r="H417" s="89">
        <f t="shared" si="26"/>
        <v>0</v>
      </c>
      <c r="I417" s="181">
        <v>380</v>
      </c>
      <c r="J417" s="26">
        <v>380</v>
      </c>
      <c r="K417" s="188">
        <f t="shared" si="28"/>
        <v>0</v>
      </c>
      <c r="L417" s="10"/>
    </row>
    <row r="418" spans="1:12" ht="50.25" customHeight="1" hidden="1">
      <c r="A418" s="94">
        <v>12</v>
      </c>
      <c r="B418" s="95" t="s">
        <v>379</v>
      </c>
      <c r="C418" s="26">
        <v>920.3</v>
      </c>
      <c r="D418" s="26">
        <v>920.3</v>
      </c>
      <c r="E418" s="9">
        <f t="shared" si="27"/>
        <v>0</v>
      </c>
      <c r="F418" s="89">
        <f t="shared" si="25"/>
        <v>0</v>
      </c>
      <c r="G418" s="26">
        <v>920.3</v>
      </c>
      <c r="H418" s="89">
        <f t="shared" si="26"/>
        <v>0</v>
      </c>
      <c r="I418" s="181">
        <v>899.9</v>
      </c>
      <c r="J418" s="26">
        <v>899.9</v>
      </c>
      <c r="K418" s="188">
        <f t="shared" si="28"/>
        <v>20.399999999999977</v>
      </c>
      <c r="L418" s="10"/>
    </row>
    <row r="419" spans="1:12" ht="53.25" customHeight="1" hidden="1">
      <c r="A419" s="94">
        <v>13</v>
      </c>
      <c r="B419" s="95" t="s">
        <v>380</v>
      </c>
      <c r="C419" s="26">
        <v>510.8</v>
      </c>
      <c r="D419" s="26">
        <v>213.7</v>
      </c>
      <c r="E419" s="9">
        <f t="shared" si="27"/>
        <v>297.1</v>
      </c>
      <c r="F419" s="89">
        <f t="shared" si="25"/>
        <v>58.16366483946751</v>
      </c>
      <c r="G419" s="26">
        <v>213.1</v>
      </c>
      <c r="H419" s="89">
        <f t="shared" si="26"/>
        <v>-0.5999999999999943</v>
      </c>
      <c r="I419" s="181">
        <v>205</v>
      </c>
      <c r="J419" s="26">
        <v>205</v>
      </c>
      <c r="K419" s="188">
        <f t="shared" si="28"/>
        <v>8.699999999999989</v>
      </c>
      <c r="L419" s="10"/>
    </row>
    <row r="420" spans="1:12" ht="33" customHeight="1" hidden="1">
      <c r="A420" s="94">
        <v>14</v>
      </c>
      <c r="B420" s="95" t="s">
        <v>381</v>
      </c>
      <c r="C420" s="26">
        <v>1200</v>
      </c>
      <c r="D420" s="26">
        <v>1140</v>
      </c>
      <c r="E420" s="9">
        <f t="shared" si="27"/>
        <v>60</v>
      </c>
      <c r="F420" s="89">
        <f t="shared" si="25"/>
        <v>5</v>
      </c>
      <c r="G420" s="26">
        <v>1182</v>
      </c>
      <c r="H420" s="89">
        <f t="shared" si="26"/>
        <v>42</v>
      </c>
      <c r="I420" s="181">
        <v>1140</v>
      </c>
      <c r="J420" s="26"/>
      <c r="K420" s="188">
        <f t="shared" si="28"/>
        <v>0</v>
      </c>
      <c r="L420" s="10"/>
    </row>
    <row r="421" spans="1:12" ht="50.25" hidden="1">
      <c r="A421" s="94">
        <v>15</v>
      </c>
      <c r="B421" s="95" t="s">
        <v>382</v>
      </c>
      <c r="C421" s="27">
        <v>300</v>
      </c>
      <c r="D421" s="27">
        <v>300</v>
      </c>
      <c r="E421" s="9">
        <f t="shared" si="27"/>
        <v>0</v>
      </c>
      <c r="F421" s="89">
        <f t="shared" si="25"/>
        <v>0</v>
      </c>
      <c r="G421" s="27">
        <v>289.8</v>
      </c>
      <c r="H421" s="89">
        <f t="shared" si="26"/>
        <v>-10.199999999999989</v>
      </c>
      <c r="I421" s="181">
        <v>289.8</v>
      </c>
      <c r="J421" s="27">
        <v>289.8</v>
      </c>
      <c r="K421" s="188">
        <f t="shared" si="28"/>
        <v>10.199999999999989</v>
      </c>
      <c r="L421" s="10"/>
    </row>
    <row r="422" spans="1:12" ht="64.5" customHeight="1" hidden="1">
      <c r="A422" s="105">
        <v>16</v>
      </c>
      <c r="B422" s="106" t="s">
        <v>383</v>
      </c>
      <c r="C422" s="46">
        <v>284.1</v>
      </c>
      <c r="D422" s="46">
        <v>284.1</v>
      </c>
      <c r="E422" s="9">
        <f t="shared" si="27"/>
        <v>0</v>
      </c>
      <c r="F422" s="89">
        <f t="shared" si="25"/>
        <v>0</v>
      </c>
      <c r="G422" s="46">
        <v>284.1</v>
      </c>
      <c r="H422" s="89">
        <f t="shared" si="26"/>
        <v>0</v>
      </c>
      <c r="I422" s="181">
        <v>284.1</v>
      </c>
      <c r="J422" s="46">
        <v>0</v>
      </c>
      <c r="K422" s="188">
        <f t="shared" si="28"/>
        <v>0</v>
      </c>
      <c r="L422" s="10"/>
    </row>
    <row r="423" spans="1:12" ht="64.5" customHeight="1" hidden="1">
      <c r="A423" s="105">
        <v>17</v>
      </c>
      <c r="B423" s="106" t="s">
        <v>384</v>
      </c>
      <c r="C423" s="46">
        <v>492.8</v>
      </c>
      <c r="D423" s="46">
        <v>492.8</v>
      </c>
      <c r="E423" s="9">
        <f t="shared" si="27"/>
        <v>0</v>
      </c>
      <c r="F423" s="89">
        <f t="shared" si="25"/>
        <v>0</v>
      </c>
      <c r="G423" s="46">
        <v>492.8</v>
      </c>
      <c r="H423" s="89">
        <f t="shared" si="26"/>
        <v>0</v>
      </c>
      <c r="I423" s="181">
        <v>492.8</v>
      </c>
      <c r="J423" s="46">
        <v>492.8</v>
      </c>
      <c r="K423" s="188">
        <f t="shared" si="28"/>
        <v>0</v>
      </c>
      <c r="L423" s="10"/>
    </row>
    <row r="424" spans="1:12" ht="21" customHeight="1" hidden="1">
      <c r="A424" s="100"/>
      <c r="B424" s="114" t="s">
        <v>11</v>
      </c>
      <c r="C424" s="11">
        <f>SUM(C425:C427)</f>
        <v>560.1</v>
      </c>
      <c r="D424" s="11">
        <f>SUM(D425:D427)</f>
        <v>560.1</v>
      </c>
      <c r="E424" s="11">
        <f>C424-D424</f>
        <v>0</v>
      </c>
      <c r="F424" s="155">
        <f>100-D424/C424*100</f>
        <v>0</v>
      </c>
      <c r="G424" s="11">
        <f>SUM(G425:G427)</f>
        <v>526.8</v>
      </c>
      <c r="H424" s="155">
        <f t="shared" si="26"/>
        <v>-33.30000000000007</v>
      </c>
      <c r="I424" s="11">
        <f>SUM(I425:I427)</f>
        <v>526.2</v>
      </c>
      <c r="J424" s="11">
        <f>SUM(J425:J427)</f>
        <v>526.2</v>
      </c>
      <c r="K424" s="188">
        <f t="shared" si="28"/>
        <v>33.89999999999998</v>
      </c>
      <c r="L424" s="8"/>
    </row>
    <row r="425" spans="1:12" ht="66" customHeight="1" hidden="1">
      <c r="A425" s="98">
        <v>1</v>
      </c>
      <c r="B425" s="95" t="s">
        <v>387</v>
      </c>
      <c r="C425" s="17">
        <v>200</v>
      </c>
      <c r="D425" s="17">
        <v>200</v>
      </c>
      <c r="E425" s="9">
        <f t="shared" si="27"/>
        <v>0</v>
      </c>
      <c r="F425" s="89">
        <f t="shared" si="25"/>
        <v>0</v>
      </c>
      <c r="G425" s="17">
        <v>170</v>
      </c>
      <c r="H425" s="89">
        <f t="shared" si="26"/>
        <v>-30</v>
      </c>
      <c r="I425" s="181">
        <v>170</v>
      </c>
      <c r="J425" s="17">
        <v>170</v>
      </c>
      <c r="K425" s="188">
        <f t="shared" si="28"/>
        <v>30</v>
      </c>
      <c r="L425" s="10"/>
    </row>
    <row r="426" spans="1:12" ht="33.75" customHeight="1" hidden="1">
      <c r="A426" s="98">
        <v>2</v>
      </c>
      <c r="B426" s="95" t="s">
        <v>385</v>
      </c>
      <c r="C426" s="17">
        <v>99</v>
      </c>
      <c r="D426" s="17">
        <v>99</v>
      </c>
      <c r="E426" s="9">
        <f t="shared" si="27"/>
        <v>0</v>
      </c>
      <c r="F426" s="89">
        <f t="shared" si="25"/>
        <v>0</v>
      </c>
      <c r="G426" s="17">
        <v>98.9</v>
      </c>
      <c r="H426" s="89">
        <f t="shared" si="26"/>
        <v>-0.09999999999999432</v>
      </c>
      <c r="I426" s="181">
        <v>98.9</v>
      </c>
      <c r="J426" s="17">
        <v>98.9</v>
      </c>
      <c r="K426" s="188">
        <f t="shared" si="28"/>
        <v>0.09999999999999432</v>
      </c>
      <c r="L426" s="10"/>
    </row>
    <row r="427" spans="1:12" ht="50.25" customHeight="1" hidden="1">
      <c r="A427" s="98">
        <v>3</v>
      </c>
      <c r="B427" s="95" t="s">
        <v>386</v>
      </c>
      <c r="C427" s="17">
        <v>261.1</v>
      </c>
      <c r="D427" s="17">
        <v>261.1</v>
      </c>
      <c r="E427" s="9">
        <f t="shared" si="27"/>
        <v>0</v>
      </c>
      <c r="F427" s="89">
        <f t="shared" si="25"/>
        <v>0</v>
      </c>
      <c r="G427" s="17">
        <v>257.9</v>
      </c>
      <c r="H427" s="89">
        <f t="shared" si="26"/>
        <v>-3.2000000000000455</v>
      </c>
      <c r="I427" s="181">
        <v>257.3</v>
      </c>
      <c r="J427" s="17">
        <v>257.3</v>
      </c>
      <c r="K427" s="188">
        <f t="shared" si="28"/>
        <v>3.8000000000000114</v>
      </c>
      <c r="L427" s="10"/>
    </row>
    <row r="428" spans="1:12" ht="23.25" customHeight="1" hidden="1">
      <c r="A428" s="98"/>
      <c r="B428" s="115" t="s">
        <v>14</v>
      </c>
      <c r="C428" s="11">
        <f>SUM(C429:C430)</f>
        <v>863.2</v>
      </c>
      <c r="D428" s="11">
        <f>SUM(D429:D430)</f>
        <v>838.6</v>
      </c>
      <c r="E428" s="11">
        <f>C428-D428</f>
        <v>24.600000000000023</v>
      </c>
      <c r="F428" s="155">
        <f>100-D428/C428*100</f>
        <v>2.8498609823911067</v>
      </c>
      <c r="G428" s="11">
        <f>SUM(G429:G430)</f>
        <v>588.5</v>
      </c>
      <c r="H428" s="155">
        <f t="shared" si="26"/>
        <v>-250.10000000000002</v>
      </c>
      <c r="I428" s="11">
        <f>SUM(I429:I430)</f>
        <v>588.5</v>
      </c>
      <c r="J428" s="11">
        <f>SUM(J429:J430)</f>
        <v>588.5</v>
      </c>
      <c r="K428" s="188">
        <f t="shared" si="28"/>
        <v>250.10000000000002</v>
      </c>
      <c r="L428" s="24"/>
    </row>
    <row r="429" spans="1:12" ht="50.25" customHeight="1" hidden="1">
      <c r="A429" s="98">
        <v>1</v>
      </c>
      <c r="B429" s="95" t="s">
        <v>388</v>
      </c>
      <c r="C429" s="17">
        <v>247.1</v>
      </c>
      <c r="D429" s="17">
        <v>247.1</v>
      </c>
      <c r="E429" s="9">
        <f t="shared" si="27"/>
        <v>0</v>
      </c>
      <c r="F429" s="89">
        <f t="shared" si="25"/>
        <v>0</v>
      </c>
      <c r="G429" s="17">
        <v>0</v>
      </c>
      <c r="H429" s="89">
        <f t="shared" si="26"/>
        <v>-247.1</v>
      </c>
      <c r="I429" s="17">
        <v>0</v>
      </c>
      <c r="J429" s="17">
        <v>0</v>
      </c>
      <c r="K429" s="188">
        <f t="shared" si="28"/>
        <v>247.1</v>
      </c>
      <c r="L429" s="10"/>
    </row>
    <row r="430" spans="1:12" ht="34.5" customHeight="1" hidden="1">
      <c r="A430" s="98">
        <v>2</v>
      </c>
      <c r="B430" s="95" t="s">
        <v>417</v>
      </c>
      <c r="C430" s="17">
        <v>616.1</v>
      </c>
      <c r="D430" s="17">
        <v>591.5</v>
      </c>
      <c r="E430" s="9">
        <f t="shared" si="27"/>
        <v>24.600000000000023</v>
      </c>
      <c r="F430" s="89">
        <f t="shared" si="25"/>
        <v>3.9928583022236666</v>
      </c>
      <c r="G430" s="17">
        <v>588.5</v>
      </c>
      <c r="H430" s="89">
        <f t="shared" si="26"/>
        <v>-3</v>
      </c>
      <c r="I430" s="17">
        <v>588.5</v>
      </c>
      <c r="J430" s="17">
        <v>588.5</v>
      </c>
      <c r="K430" s="188">
        <f t="shared" si="28"/>
        <v>3</v>
      </c>
      <c r="L430" s="10"/>
    </row>
    <row r="431" spans="1:12" ht="17.25" hidden="1">
      <c r="A431" s="142" t="s">
        <v>42</v>
      </c>
      <c r="B431" s="132"/>
      <c r="C431" s="85">
        <v>2440.2</v>
      </c>
      <c r="D431" s="85">
        <f>SUM(D432:D433)</f>
        <v>2342.6</v>
      </c>
      <c r="E431" s="73">
        <f t="shared" si="27"/>
        <v>97.59999999999991</v>
      </c>
      <c r="F431" s="73">
        <f t="shared" si="25"/>
        <v>3.999672158019834</v>
      </c>
      <c r="G431" s="85">
        <f>SUM(G432:G433)</f>
        <v>2342.6</v>
      </c>
      <c r="H431" s="73">
        <f t="shared" si="26"/>
        <v>0</v>
      </c>
      <c r="I431" s="85">
        <f>SUM(I432:I433)</f>
        <v>2342.6</v>
      </c>
      <c r="J431" s="85">
        <f>SUM(J432:J433)</f>
        <v>2342.6</v>
      </c>
      <c r="K431" s="188">
        <f t="shared" si="28"/>
        <v>0</v>
      </c>
      <c r="L431" s="79"/>
    </row>
    <row r="432" spans="1:12" ht="33.75" customHeight="1" hidden="1">
      <c r="A432" s="94">
        <v>1</v>
      </c>
      <c r="B432" s="130" t="s">
        <v>63</v>
      </c>
      <c r="C432" s="17">
        <v>1264.3</v>
      </c>
      <c r="D432" s="17">
        <v>1264.3</v>
      </c>
      <c r="E432" s="9">
        <f t="shared" si="27"/>
        <v>0</v>
      </c>
      <c r="F432" s="89">
        <f t="shared" si="25"/>
        <v>0</v>
      </c>
      <c r="G432" s="17">
        <v>1264.3</v>
      </c>
      <c r="H432" s="89">
        <f t="shared" si="26"/>
        <v>0</v>
      </c>
      <c r="I432" s="17">
        <v>1264.3</v>
      </c>
      <c r="J432" s="17">
        <v>1264.3</v>
      </c>
      <c r="K432" s="188">
        <f t="shared" si="28"/>
        <v>0</v>
      </c>
      <c r="L432" s="13"/>
    </row>
    <row r="433" spans="1:12" ht="32.25" customHeight="1" hidden="1">
      <c r="A433" s="94">
        <v>2</v>
      </c>
      <c r="B433" s="130" t="s">
        <v>570</v>
      </c>
      <c r="C433" s="17">
        <v>1175.9</v>
      </c>
      <c r="D433" s="17">
        <v>1078.3</v>
      </c>
      <c r="E433" s="9">
        <f t="shared" si="27"/>
        <v>97.60000000000014</v>
      </c>
      <c r="F433" s="89">
        <f t="shared" si="25"/>
        <v>8.300025512373509</v>
      </c>
      <c r="G433" s="17">
        <v>1078.3</v>
      </c>
      <c r="H433" s="89">
        <f t="shared" si="26"/>
        <v>0</v>
      </c>
      <c r="I433" s="17">
        <v>1078.3</v>
      </c>
      <c r="J433" s="17">
        <v>1078.3</v>
      </c>
      <c r="K433" s="188">
        <f t="shared" si="28"/>
        <v>0</v>
      </c>
      <c r="L433" s="13"/>
    </row>
    <row r="434" spans="1:12" ht="17.25" hidden="1">
      <c r="A434" s="96" t="s">
        <v>43</v>
      </c>
      <c r="B434" s="132"/>
      <c r="C434" s="82">
        <v>2699.4</v>
      </c>
      <c r="D434" s="82">
        <f>SUM(D435:D438)</f>
        <v>2591.4</v>
      </c>
      <c r="E434" s="73">
        <f t="shared" si="27"/>
        <v>108</v>
      </c>
      <c r="F434" s="73">
        <f t="shared" si="25"/>
        <v>4.000889086463658</v>
      </c>
      <c r="G434" s="82">
        <f>SUM(G435:G438)</f>
        <v>1887.7999999999997</v>
      </c>
      <c r="H434" s="73">
        <f t="shared" si="26"/>
        <v>-703.6000000000004</v>
      </c>
      <c r="I434" s="82">
        <f>SUM(I435:I438)</f>
        <v>740.4000000000001</v>
      </c>
      <c r="J434" s="82">
        <f>SUM(J435:J438)</f>
        <v>730.1</v>
      </c>
      <c r="K434" s="188">
        <f t="shared" si="28"/>
        <v>1851</v>
      </c>
      <c r="L434" s="83"/>
    </row>
    <row r="435" spans="1:12" ht="50.25" hidden="1">
      <c r="A435" s="94">
        <v>1</v>
      </c>
      <c r="B435" s="95" t="s">
        <v>237</v>
      </c>
      <c r="C435" s="9">
        <v>1146.6</v>
      </c>
      <c r="D435" s="9">
        <v>1146.6</v>
      </c>
      <c r="E435" s="9">
        <f t="shared" si="27"/>
        <v>0</v>
      </c>
      <c r="F435" s="89">
        <f t="shared" si="25"/>
        <v>0</v>
      </c>
      <c r="G435" s="9">
        <v>1146.6</v>
      </c>
      <c r="H435" s="89">
        <f t="shared" si="26"/>
        <v>0</v>
      </c>
      <c r="I435" s="9">
        <v>0</v>
      </c>
      <c r="J435" s="9">
        <v>0</v>
      </c>
      <c r="K435" s="188">
        <f t="shared" si="28"/>
        <v>1146.6</v>
      </c>
      <c r="L435" s="10"/>
    </row>
    <row r="436" spans="1:12" ht="20.25" customHeight="1" hidden="1">
      <c r="A436" s="94">
        <v>2</v>
      </c>
      <c r="B436" s="95" t="s">
        <v>238</v>
      </c>
      <c r="C436" s="9">
        <v>704.4</v>
      </c>
      <c r="D436" s="9">
        <v>704.4</v>
      </c>
      <c r="E436" s="9">
        <f t="shared" si="27"/>
        <v>0</v>
      </c>
      <c r="F436" s="89">
        <f t="shared" si="25"/>
        <v>0</v>
      </c>
      <c r="G436" s="9">
        <v>0</v>
      </c>
      <c r="H436" s="89">
        <f t="shared" si="26"/>
        <v>-704.4</v>
      </c>
      <c r="I436" s="9">
        <v>0</v>
      </c>
      <c r="J436" s="9">
        <v>0</v>
      </c>
      <c r="K436" s="188">
        <f t="shared" si="28"/>
        <v>704.4</v>
      </c>
      <c r="L436" s="10"/>
    </row>
    <row r="437" spans="1:12" ht="34.5" customHeight="1" hidden="1">
      <c r="A437" s="94">
        <v>3</v>
      </c>
      <c r="B437" s="95" t="s">
        <v>239</v>
      </c>
      <c r="C437" s="9">
        <v>649.8</v>
      </c>
      <c r="D437" s="9">
        <v>542.6</v>
      </c>
      <c r="E437" s="9">
        <f t="shared" si="27"/>
        <v>107.19999999999993</v>
      </c>
      <c r="F437" s="89">
        <f t="shared" si="25"/>
        <v>16.497383810403193</v>
      </c>
      <c r="G437" s="9">
        <v>542.6</v>
      </c>
      <c r="H437" s="89">
        <f t="shared" si="26"/>
        <v>0</v>
      </c>
      <c r="I437" s="89">
        <v>542.6</v>
      </c>
      <c r="J437" s="9">
        <v>542.6</v>
      </c>
      <c r="K437" s="188">
        <f t="shared" si="28"/>
        <v>0</v>
      </c>
      <c r="L437" s="10"/>
    </row>
    <row r="438" spans="1:12" ht="36.75" customHeight="1" hidden="1">
      <c r="A438" s="94">
        <v>4</v>
      </c>
      <c r="B438" s="99" t="s">
        <v>478</v>
      </c>
      <c r="C438" s="9">
        <v>198.6</v>
      </c>
      <c r="D438" s="9">
        <v>197.8</v>
      </c>
      <c r="E438" s="9">
        <f t="shared" si="27"/>
        <v>0.799999999999983</v>
      </c>
      <c r="F438" s="89">
        <f aca="true" t="shared" si="29" ref="F438:F501">100-D438/C438*100</f>
        <v>0.4028197381671532</v>
      </c>
      <c r="G438" s="9">
        <v>198.6</v>
      </c>
      <c r="H438" s="89">
        <f aca="true" t="shared" si="30" ref="H438:H501">G438-D438</f>
        <v>0.799999999999983</v>
      </c>
      <c r="I438" s="89">
        <v>197.8</v>
      </c>
      <c r="J438" s="9">
        <v>187.5</v>
      </c>
      <c r="K438" s="188">
        <f t="shared" si="28"/>
        <v>0</v>
      </c>
      <c r="L438" s="10"/>
    </row>
    <row r="439" spans="1:12" ht="31.5" customHeight="1" hidden="1">
      <c r="A439" s="368" t="s">
        <v>44</v>
      </c>
      <c r="B439" s="369"/>
      <c r="C439" s="78">
        <v>1415</v>
      </c>
      <c r="D439" s="78">
        <f>SUM(D440:D449)</f>
        <v>1358.4</v>
      </c>
      <c r="E439" s="73">
        <f t="shared" si="27"/>
        <v>56.59999999999991</v>
      </c>
      <c r="F439" s="73">
        <f t="shared" si="29"/>
        <v>3.999999999999986</v>
      </c>
      <c r="G439" s="78">
        <f>SUM(G440:G449)</f>
        <v>1182.3</v>
      </c>
      <c r="H439" s="73">
        <f t="shared" si="30"/>
        <v>-176.10000000000014</v>
      </c>
      <c r="I439" s="78">
        <f>SUM(I440:I449)</f>
        <v>1182.3</v>
      </c>
      <c r="J439" s="78">
        <f>SUM(J440:J449)</f>
        <v>1182.3</v>
      </c>
      <c r="K439" s="188">
        <f t="shared" si="28"/>
        <v>176.10000000000014</v>
      </c>
      <c r="L439" s="77"/>
    </row>
    <row r="440" spans="1:12" ht="30.75" customHeight="1" hidden="1">
      <c r="A440" s="129">
        <v>1</v>
      </c>
      <c r="B440" s="95" t="s">
        <v>240</v>
      </c>
      <c r="C440" s="22">
        <v>340</v>
      </c>
      <c r="D440" s="22">
        <v>326</v>
      </c>
      <c r="E440" s="9">
        <f t="shared" si="27"/>
        <v>14</v>
      </c>
      <c r="F440" s="89">
        <f t="shared" si="29"/>
        <v>4.117647058823522</v>
      </c>
      <c r="G440" s="22">
        <v>149.9</v>
      </c>
      <c r="H440" s="89">
        <f t="shared" si="30"/>
        <v>-176.1</v>
      </c>
      <c r="I440" s="22">
        <v>149.9</v>
      </c>
      <c r="J440" s="22">
        <v>149.9</v>
      </c>
      <c r="K440" s="188">
        <f t="shared" si="28"/>
        <v>176.1</v>
      </c>
      <c r="L440" s="10"/>
    </row>
    <row r="441" spans="1:12" ht="23.25" customHeight="1" hidden="1">
      <c r="A441" s="129">
        <v>2</v>
      </c>
      <c r="B441" s="95" t="s">
        <v>241</v>
      </c>
      <c r="C441" s="22">
        <v>90</v>
      </c>
      <c r="D441" s="22">
        <v>86</v>
      </c>
      <c r="E441" s="9">
        <f aca="true" t="shared" si="31" ref="E441:E503">C441-D441</f>
        <v>4</v>
      </c>
      <c r="F441" s="89">
        <f t="shared" si="29"/>
        <v>4.444444444444443</v>
      </c>
      <c r="G441" s="22">
        <v>86</v>
      </c>
      <c r="H441" s="89">
        <f t="shared" si="30"/>
        <v>0</v>
      </c>
      <c r="I441" s="22">
        <v>86</v>
      </c>
      <c r="J441" s="22">
        <v>86</v>
      </c>
      <c r="K441" s="188">
        <f t="shared" si="28"/>
        <v>0</v>
      </c>
      <c r="L441" s="10"/>
    </row>
    <row r="442" spans="1:12" ht="22.5" customHeight="1" hidden="1">
      <c r="A442" s="129">
        <v>3</v>
      </c>
      <c r="B442" s="95" t="s">
        <v>242</v>
      </c>
      <c r="C442" s="22">
        <v>200</v>
      </c>
      <c r="D442" s="22">
        <v>192</v>
      </c>
      <c r="E442" s="9">
        <f t="shared" si="31"/>
        <v>8</v>
      </c>
      <c r="F442" s="89">
        <f t="shared" si="29"/>
        <v>4</v>
      </c>
      <c r="G442" s="22">
        <v>192</v>
      </c>
      <c r="H442" s="89">
        <f t="shared" si="30"/>
        <v>0</v>
      </c>
      <c r="I442" s="22">
        <v>192</v>
      </c>
      <c r="J442" s="22">
        <v>192</v>
      </c>
      <c r="K442" s="188">
        <f t="shared" si="28"/>
        <v>0</v>
      </c>
      <c r="L442" s="10"/>
    </row>
    <row r="443" spans="1:12" ht="21.75" customHeight="1" hidden="1">
      <c r="A443" s="129">
        <v>4</v>
      </c>
      <c r="B443" s="95" t="s">
        <v>243</v>
      </c>
      <c r="C443" s="22">
        <v>60</v>
      </c>
      <c r="D443" s="22">
        <v>57.6</v>
      </c>
      <c r="E443" s="9">
        <f t="shared" si="31"/>
        <v>2.3999999999999986</v>
      </c>
      <c r="F443" s="89">
        <f t="shared" si="29"/>
        <v>3.999999999999986</v>
      </c>
      <c r="G443" s="22">
        <v>57.6</v>
      </c>
      <c r="H443" s="89">
        <f t="shared" si="30"/>
        <v>0</v>
      </c>
      <c r="I443" s="22">
        <v>57.6</v>
      </c>
      <c r="J443" s="22">
        <v>57.6</v>
      </c>
      <c r="K443" s="188">
        <f t="shared" si="28"/>
        <v>0</v>
      </c>
      <c r="L443" s="10"/>
    </row>
    <row r="444" spans="1:12" ht="21" customHeight="1" hidden="1">
      <c r="A444" s="129">
        <v>5</v>
      </c>
      <c r="B444" s="106" t="s">
        <v>244</v>
      </c>
      <c r="C444" s="22">
        <v>60</v>
      </c>
      <c r="D444" s="22">
        <v>57.6</v>
      </c>
      <c r="E444" s="9">
        <f t="shared" si="31"/>
        <v>2.3999999999999986</v>
      </c>
      <c r="F444" s="89">
        <f t="shared" si="29"/>
        <v>3.999999999999986</v>
      </c>
      <c r="G444" s="22">
        <v>57.6</v>
      </c>
      <c r="H444" s="89">
        <f t="shared" si="30"/>
        <v>0</v>
      </c>
      <c r="I444" s="22">
        <v>57.6</v>
      </c>
      <c r="J444" s="22">
        <v>57.6</v>
      </c>
      <c r="K444" s="188">
        <f t="shared" si="28"/>
        <v>0</v>
      </c>
      <c r="L444" s="10"/>
    </row>
    <row r="445" spans="1:12" ht="23.25" customHeight="1" hidden="1">
      <c r="A445" s="129">
        <v>6</v>
      </c>
      <c r="B445" s="95" t="s">
        <v>245</v>
      </c>
      <c r="C445" s="22">
        <v>60</v>
      </c>
      <c r="D445" s="22">
        <v>57.6</v>
      </c>
      <c r="E445" s="9">
        <f t="shared" si="31"/>
        <v>2.3999999999999986</v>
      </c>
      <c r="F445" s="89">
        <f t="shared" si="29"/>
        <v>3.999999999999986</v>
      </c>
      <c r="G445" s="22">
        <v>57.6</v>
      </c>
      <c r="H445" s="89">
        <f t="shared" si="30"/>
        <v>0</v>
      </c>
      <c r="I445" s="22">
        <v>57.6</v>
      </c>
      <c r="J445" s="22">
        <v>57.6</v>
      </c>
      <c r="K445" s="188">
        <f t="shared" si="28"/>
        <v>0</v>
      </c>
      <c r="L445" s="10"/>
    </row>
    <row r="446" spans="1:12" ht="30.75" customHeight="1" hidden="1">
      <c r="A446" s="129">
        <v>7</v>
      </c>
      <c r="B446" s="95" t="s">
        <v>246</v>
      </c>
      <c r="C446" s="22">
        <v>100</v>
      </c>
      <c r="D446" s="22">
        <v>96</v>
      </c>
      <c r="E446" s="9">
        <f t="shared" si="31"/>
        <v>4</v>
      </c>
      <c r="F446" s="89">
        <f t="shared" si="29"/>
        <v>4</v>
      </c>
      <c r="G446" s="22">
        <v>96</v>
      </c>
      <c r="H446" s="89">
        <f t="shared" si="30"/>
        <v>0</v>
      </c>
      <c r="I446" s="22">
        <v>96</v>
      </c>
      <c r="J446" s="22">
        <v>96</v>
      </c>
      <c r="K446" s="188">
        <f t="shared" si="28"/>
        <v>0</v>
      </c>
      <c r="L446" s="10"/>
    </row>
    <row r="447" spans="1:12" ht="21.75" customHeight="1" hidden="1">
      <c r="A447" s="129">
        <v>8</v>
      </c>
      <c r="B447" s="95" t="s">
        <v>247</v>
      </c>
      <c r="C447" s="22">
        <v>200</v>
      </c>
      <c r="D447" s="22">
        <v>192</v>
      </c>
      <c r="E447" s="9">
        <f t="shared" si="31"/>
        <v>8</v>
      </c>
      <c r="F447" s="89">
        <f t="shared" si="29"/>
        <v>4</v>
      </c>
      <c r="G447" s="22">
        <v>192</v>
      </c>
      <c r="H447" s="89">
        <f t="shared" si="30"/>
        <v>0</v>
      </c>
      <c r="I447" s="22">
        <v>192</v>
      </c>
      <c r="J447" s="22">
        <v>192</v>
      </c>
      <c r="K447" s="188">
        <f t="shared" si="28"/>
        <v>0</v>
      </c>
      <c r="L447" s="10"/>
    </row>
    <row r="448" spans="1:12" ht="21" customHeight="1" hidden="1">
      <c r="A448" s="129">
        <v>9</v>
      </c>
      <c r="B448" s="95" t="s">
        <v>248</v>
      </c>
      <c r="C448" s="22">
        <v>200</v>
      </c>
      <c r="D448" s="22">
        <v>192</v>
      </c>
      <c r="E448" s="9">
        <f t="shared" si="31"/>
        <v>8</v>
      </c>
      <c r="F448" s="89">
        <f t="shared" si="29"/>
        <v>4</v>
      </c>
      <c r="G448" s="22">
        <v>192</v>
      </c>
      <c r="H448" s="89">
        <f t="shared" si="30"/>
        <v>0</v>
      </c>
      <c r="I448" s="22">
        <v>192</v>
      </c>
      <c r="J448" s="22">
        <v>192</v>
      </c>
      <c r="K448" s="188">
        <f t="shared" si="28"/>
        <v>0</v>
      </c>
      <c r="L448" s="10"/>
    </row>
    <row r="449" spans="1:12" ht="24" customHeight="1" hidden="1">
      <c r="A449" s="129">
        <v>10</v>
      </c>
      <c r="B449" s="95" t="s">
        <v>404</v>
      </c>
      <c r="C449" s="22">
        <v>105</v>
      </c>
      <c r="D449" s="22">
        <v>101.6</v>
      </c>
      <c r="E449" s="9">
        <f t="shared" si="31"/>
        <v>3.4000000000000057</v>
      </c>
      <c r="F449" s="89">
        <f t="shared" si="29"/>
        <v>3.238095238095241</v>
      </c>
      <c r="G449" s="22">
        <v>101.6</v>
      </c>
      <c r="H449" s="89">
        <f t="shared" si="30"/>
        <v>0</v>
      </c>
      <c r="I449" s="22">
        <v>101.6</v>
      </c>
      <c r="J449" s="22">
        <v>101.6</v>
      </c>
      <c r="K449" s="188">
        <f t="shared" si="28"/>
        <v>0</v>
      </c>
      <c r="L449" s="10"/>
    </row>
    <row r="450" spans="1:12" ht="18.75" customHeight="1" hidden="1">
      <c r="A450" s="368" t="s">
        <v>45</v>
      </c>
      <c r="B450" s="369"/>
      <c r="C450" s="82">
        <v>2879.2</v>
      </c>
      <c r="D450" s="82">
        <f>SUM(D451:D459)</f>
        <v>2764</v>
      </c>
      <c r="E450" s="73">
        <f t="shared" si="31"/>
        <v>115.19999999999982</v>
      </c>
      <c r="F450" s="73">
        <f t="shared" si="29"/>
        <v>4.00111141983885</v>
      </c>
      <c r="G450" s="82">
        <f>SUM(G451:G459)</f>
        <v>2763.4</v>
      </c>
      <c r="H450" s="73">
        <f t="shared" si="30"/>
        <v>-0.599999999999909</v>
      </c>
      <c r="I450" s="82">
        <f>SUM(I451:I459)</f>
        <v>2763.4</v>
      </c>
      <c r="J450" s="82">
        <f>SUM(J451:J459)</f>
        <v>2711.715</v>
      </c>
      <c r="K450" s="188">
        <f t="shared" si="28"/>
        <v>0.599999999999909</v>
      </c>
      <c r="L450" s="77"/>
    </row>
    <row r="451" spans="1:12" ht="33" hidden="1">
      <c r="A451" s="94">
        <v>1</v>
      </c>
      <c r="B451" s="113" t="s">
        <v>249</v>
      </c>
      <c r="C451" s="12">
        <v>450</v>
      </c>
      <c r="D451" s="12">
        <v>450</v>
      </c>
      <c r="E451" s="9">
        <f t="shared" si="31"/>
        <v>0</v>
      </c>
      <c r="F451" s="89">
        <f t="shared" si="29"/>
        <v>0</v>
      </c>
      <c r="G451" s="12">
        <v>450</v>
      </c>
      <c r="H451" s="89">
        <f t="shared" si="30"/>
        <v>0</v>
      </c>
      <c r="I451" s="12">
        <v>450</v>
      </c>
      <c r="J451" s="12">
        <v>398.315</v>
      </c>
      <c r="K451" s="188">
        <f t="shared" si="28"/>
        <v>0</v>
      </c>
      <c r="L451" s="10"/>
    </row>
    <row r="452" spans="1:12" ht="33" hidden="1">
      <c r="A452" s="94">
        <v>2</v>
      </c>
      <c r="B452" s="109" t="s">
        <v>532</v>
      </c>
      <c r="C452" s="12">
        <v>1000</v>
      </c>
      <c r="D452" s="12">
        <v>1000</v>
      </c>
      <c r="E452" s="9">
        <f t="shared" si="31"/>
        <v>0</v>
      </c>
      <c r="F452" s="89">
        <f t="shared" si="29"/>
        <v>0</v>
      </c>
      <c r="G452" s="12">
        <v>1000</v>
      </c>
      <c r="H452" s="89">
        <f t="shared" si="30"/>
        <v>0</v>
      </c>
      <c r="I452" s="12">
        <v>1000</v>
      </c>
      <c r="J452" s="12">
        <v>1000</v>
      </c>
      <c r="K452" s="188">
        <f t="shared" si="28"/>
        <v>0</v>
      </c>
      <c r="L452" s="10"/>
    </row>
    <row r="453" spans="1:12" ht="35.25" customHeight="1" hidden="1">
      <c r="A453" s="94">
        <v>3</v>
      </c>
      <c r="B453" s="106" t="s">
        <v>511</v>
      </c>
      <c r="C453" s="12">
        <v>182.7</v>
      </c>
      <c r="D453" s="12">
        <v>182.7</v>
      </c>
      <c r="E453" s="9">
        <f t="shared" si="31"/>
        <v>0</v>
      </c>
      <c r="F453" s="89">
        <f t="shared" si="29"/>
        <v>0</v>
      </c>
      <c r="G453" s="12">
        <v>182.7</v>
      </c>
      <c r="H453" s="89">
        <f t="shared" si="30"/>
        <v>0</v>
      </c>
      <c r="I453" s="12">
        <v>182.7</v>
      </c>
      <c r="J453" s="12">
        <v>182.7</v>
      </c>
      <c r="K453" s="188">
        <f t="shared" si="28"/>
        <v>0</v>
      </c>
      <c r="L453" s="10"/>
    </row>
    <row r="454" spans="1:12" ht="33" hidden="1">
      <c r="A454" s="94">
        <v>4</v>
      </c>
      <c r="B454" s="95" t="s">
        <v>512</v>
      </c>
      <c r="C454" s="12">
        <v>366.8</v>
      </c>
      <c r="D454" s="12">
        <v>366.8</v>
      </c>
      <c r="E454" s="9">
        <f t="shared" si="31"/>
        <v>0</v>
      </c>
      <c r="F454" s="89">
        <f t="shared" si="29"/>
        <v>0</v>
      </c>
      <c r="G454" s="12">
        <v>366.2</v>
      </c>
      <c r="H454" s="89">
        <f t="shared" si="30"/>
        <v>-0.6000000000000227</v>
      </c>
      <c r="I454" s="12">
        <v>366.2</v>
      </c>
      <c r="J454" s="12">
        <v>366.2</v>
      </c>
      <c r="K454" s="188">
        <f t="shared" si="28"/>
        <v>0.6000000000000227</v>
      </c>
      <c r="L454" s="10"/>
    </row>
    <row r="455" spans="1:12" ht="50.25" hidden="1">
      <c r="A455" s="94">
        <v>5</v>
      </c>
      <c r="B455" s="95" t="s">
        <v>513</v>
      </c>
      <c r="C455" s="12">
        <v>383</v>
      </c>
      <c r="D455" s="12">
        <v>383</v>
      </c>
      <c r="E455" s="9">
        <f t="shared" si="31"/>
        <v>0</v>
      </c>
      <c r="F455" s="89">
        <f t="shared" si="29"/>
        <v>0</v>
      </c>
      <c r="G455" s="12">
        <v>383</v>
      </c>
      <c r="H455" s="89">
        <f t="shared" si="30"/>
        <v>0</v>
      </c>
      <c r="I455" s="12">
        <v>383</v>
      </c>
      <c r="J455" s="12">
        <v>383</v>
      </c>
      <c r="K455" s="188">
        <f t="shared" si="28"/>
        <v>0</v>
      </c>
      <c r="L455" s="10"/>
    </row>
    <row r="456" spans="1:12" ht="33" hidden="1">
      <c r="A456" s="94">
        <v>6</v>
      </c>
      <c r="B456" s="95" t="s">
        <v>479</v>
      </c>
      <c r="C456" s="12">
        <v>194.1</v>
      </c>
      <c r="D456" s="12">
        <v>194.1</v>
      </c>
      <c r="E456" s="9">
        <f t="shared" si="31"/>
        <v>0</v>
      </c>
      <c r="F456" s="89">
        <f t="shared" si="29"/>
        <v>0</v>
      </c>
      <c r="G456" s="12">
        <v>194.1</v>
      </c>
      <c r="H456" s="89">
        <f t="shared" si="30"/>
        <v>0</v>
      </c>
      <c r="I456" s="12">
        <v>194.1</v>
      </c>
      <c r="J456" s="12">
        <v>194.1</v>
      </c>
      <c r="K456" s="188">
        <f aca="true" t="shared" si="32" ref="K456:K504">D456-I456</f>
        <v>0</v>
      </c>
      <c r="L456" s="10"/>
    </row>
    <row r="457" spans="1:12" ht="33.75" customHeight="1" hidden="1">
      <c r="A457" s="94">
        <v>7</v>
      </c>
      <c r="B457" s="95" t="s">
        <v>480</v>
      </c>
      <c r="C457" s="12">
        <v>125.6</v>
      </c>
      <c r="D457" s="12">
        <v>125.6</v>
      </c>
      <c r="E457" s="9">
        <f t="shared" si="31"/>
        <v>0</v>
      </c>
      <c r="F457" s="89">
        <f t="shared" si="29"/>
        <v>0</v>
      </c>
      <c r="G457" s="12">
        <v>125.6</v>
      </c>
      <c r="H457" s="89">
        <f t="shared" si="30"/>
        <v>0</v>
      </c>
      <c r="I457" s="12">
        <v>125.6</v>
      </c>
      <c r="J457" s="12">
        <v>125.6</v>
      </c>
      <c r="K457" s="188">
        <f t="shared" si="32"/>
        <v>0</v>
      </c>
      <c r="L457" s="10"/>
    </row>
    <row r="458" spans="1:12" ht="30.75" customHeight="1" hidden="1">
      <c r="A458" s="94">
        <v>8</v>
      </c>
      <c r="B458" s="95" t="s">
        <v>481</v>
      </c>
      <c r="C458" s="12">
        <v>61.8</v>
      </c>
      <c r="D458" s="12">
        <v>61.8</v>
      </c>
      <c r="E458" s="9">
        <f t="shared" si="31"/>
        <v>0</v>
      </c>
      <c r="F458" s="89">
        <f t="shared" si="29"/>
        <v>0</v>
      </c>
      <c r="G458" s="12">
        <v>61.8</v>
      </c>
      <c r="H458" s="89">
        <f t="shared" si="30"/>
        <v>0</v>
      </c>
      <c r="I458" s="12">
        <v>61.8</v>
      </c>
      <c r="J458" s="12">
        <v>61.8</v>
      </c>
      <c r="K458" s="188">
        <f t="shared" si="32"/>
        <v>0</v>
      </c>
      <c r="L458" s="10"/>
    </row>
    <row r="459" spans="1:12" ht="19.5" customHeight="1" hidden="1">
      <c r="A459" s="94"/>
      <c r="B459" s="95" t="s">
        <v>482</v>
      </c>
      <c r="C459" s="12">
        <v>115.2</v>
      </c>
      <c r="D459" s="12"/>
      <c r="E459" s="9">
        <f t="shared" si="31"/>
        <v>115.2</v>
      </c>
      <c r="F459" s="89">
        <f t="shared" si="29"/>
        <v>100</v>
      </c>
      <c r="G459" s="12"/>
      <c r="H459" s="89">
        <f t="shared" si="30"/>
        <v>0</v>
      </c>
      <c r="I459" s="12"/>
      <c r="J459" s="12"/>
      <c r="K459" s="188">
        <f t="shared" si="32"/>
        <v>0</v>
      </c>
      <c r="L459" s="10"/>
    </row>
    <row r="460" spans="1:12" ht="17.25" hidden="1">
      <c r="A460" s="368" t="s">
        <v>46</v>
      </c>
      <c r="B460" s="369"/>
      <c r="C460" s="73">
        <v>3994.3</v>
      </c>
      <c r="D460" s="73">
        <f>SUM(D461:D473)</f>
        <v>3834.5000000000005</v>
      </c>
      <c r="E460" s="73">
        <f t="shared" si="31"/>
        <v>159.79999999999973</v>
      </c>
      <c r="F460" s="73">
        <f t="shared" si="29"/>
        <v>4.000700998923463</v>
      </c>
      <c r="G460" s="73">
        <f>SUM(G461:G473)</f>
        <v>2521.2</v>
      </c>
      <c r="H460" s="73">
        <f t="shared" si="30"/>
        <v>-1313.3000000000006</v>
      </c>
      <c r="I460" s="73">
        <f>SUM(I461:I473)</f>
        <v>2521.2</v>
      </c>
      <c r="J460" s="73">
        <f>SUM(J461:J473)</f>
        <v>2521.2</v>
      </c>
      <c r="K460" s="188">
        <f t="shared" si="32"/>
        <v>1313.3000000000006</v>
      </c>
      <c r="L460" s="77"/>
    </row>
    <row r="461" spans="1:12" ht="38.25" customHeight="1" hidden="1">
      <c r="A461" s="129">
        <v>1</v>
      </c>
      <c r="B461" s="95" t="s">
        <v>252</v>
      </c>
      <c r="C461" s="12">
        <v>150</v>
      </c>
      <c r="D461" s="12">
        <v>150</v>
      </c>
      <c r="E461" s="9">
        <f t="shared" si="31"/>
        <v>0</v>
      </c>
      <c r="F461" s="89">
        <f t="shared" si="29"/>
        <v>0</v>
      </c>
      <c r="G461" s="12">
        <v>150</v>
      </c>
      <c r="H461" s="89">
        <f t="shared" si="30"/>
        <v>0</v>
      </c>
      <c r="I461" s="12">
        <v>150</v>
      </c>
      <c r="J461" s="12">
        <v>150</v>
      </c>
      <c r="K461" s="188">
        <f t="shared" si="32"/>
        <v>0</v>
      </c>
      <c r="L461" s="10"/>
    </row>
    <row r="462" spans="1:12" ht="50.25" hidden="1">
      <c r="A462" s="129">
        <v>2</v>
      </c>
      <c r="B462" s="95" t="s">
        <v>250</v>
      </c>
      <c r="C462" s="12">
        <v>150</v>
      </c>
      <c r="D462" s="12">
        <v>150</v>
      </c>
      <c r="E462" s="9">
        <f t="shared" si="31"/>
        <v>0</v>
      </c>
      <c r="F462" s="89">
        <f t="shared" si="29"/>
        <v>0</v>
      </c>
      <c r="G462" s="12">
        <v>150</v>
      </c>
      <c r="H462" s="89">
        <f t="shared" si="30"/>
        <v>0</v>
      </c>
      <c r="I462" s="12">
        <v>150</v>
      </c>
      <c r="J462" s="12">
        <v>150</v>
      </c>
      <c r="K462" s="188">
        <f t="shared" si="32"/>
        <v>0</v>
      </c>
      <c r="L462" s="10"/>
    </row>
    <row r="463" spans="1:12" ht="46.5" customHeight="1" hidden="1">
      <c r="A463" s="129">
        <v>3</v>
      </c>
      <c r="B463" s="95" t="s">
        <v>251</v>
      </c>
      <c r="C463" s="12">
        <v>150</v>
      </c>
      <c r="D463" s="12">
        <v>150</v>
      </c>
      <c r="E463" s="9">
        <f t="shared" si="31"/>
        <v>0</v>
      </c>
      <c r="F463" s="89">
        <f t="shared" si="29"/>
        <v>0</v>
      </c>
      <c r="G463" s="12">
        <v>150</v>
      </c>
      <c r="H463" s="89">
        <f t="shared" si="30"/>
        <v>0</v>
      </c>
      <c r="I463" s="12">
        <v>150</v>
      </c>
      <c r="J463" s="12">
        <v>150</v>
      </c>
      <c r="K463" s="188">
        <f t="shared" si="32"/>
        <v>0</v>
      </c>
      <c r="L463" s="10"/>
    </row>
    <row r="464" spans="1:12" ht="33" hidden="1">
      <c r="A464" s="129">
        <v>4</v>
      </c>
      <c r="B464" s="95" t="s">
        <v>253</v>
      </c>
      <c r="C464" s="12">
        <v>200</v>
      </c>
      <c r="D464" s="12">
        <v>200</v>
      </c>
      <c r="E464" s="9">
        <f t="shared" si="31"/>
        <v>0</v>
      </c>
      <c r="F464" s="89">
        <f t="shared" si="29"/>
        <v>0</v>
      </c>
      <c r="G464" s="12">
        <v>200</v>
      </c>
      <c r="H464" s="89">
        <f t="shared" si="30"/>
        <v>0</v>
      </c>
      <c r="I464" s="12">
        <v>200</v>
      </c>
      <c r="J464" s="12">
        <v>200</v>
      </c>
      <c r="K464" s="188">
        <f t="shared" si="32"/>
        <v>0</v>
      </c>
      <c r="L464" s="10"/>
    </row>
    <row r="465" spans="1:12" ht="50.25" hidden="1">
      <c r="A465" s="129">
        <v>5</v>
      </c>
      <c r="B465" s="95" t="s">
        <v>254</v>
      </c>
      <c r="C465" s="12">
        <v>500</v>
      </c>
      <c r="D465" s="12">
        <v>513.2</v>
      </c>
      <c r="E465" s="9">
        <f t="shared" si="31"/>
        <v>-13.200000000000045</v>
      </c>
      <c r="F465" s="89">
        <f t="shared" si="29"/>
        <v>-2.640000000000015</v>
      </c>
      <c r="G465" s="12">
        <v>0</v>
      </c>
      <c r="H465" s="89">
        <f t="shared" si="30"/>
        <v>-513.2</v>
      </c>
      <c r="I465" s="12">
        <v>0</v>
      </c>
      <c r="J465" s="12">
        <v>0</v>
      </c>
      <c r="K465" s="188">
        <f t="shared" si="32"/>
        <v>513.2</v>
      </c>
      <c r="L465" s="10"/>
    </row>
    <row r="466" spans="1:12" ht="100.5" hidden="1">
      <c r="A466" s="135">
        <v>6</v>
      </c>
      <c r="B466" s="143" t="s">
        <v>395</v>
      </c>
      <c r="C466" s="9">
        <v>494.3</v>
      </c>
      <c r="D466" s="9">
        <v>494.3</v>
      </c>
      <c r="E466" s="9">
        <f t="shared" si="31"/>
        <v>0</v>
      </c>
      <c r="F466" s="89">
        <f t="shared" si="29"/>
        <v>0</v>
      </c>
      <c r="G466" s="9">
        <v>494.3</v>
      </c>
      <c r="H466" s="89">
        <f t="shared" si="30"/>
        <v>0</v>
      </c>
      <c r="I466" s="9">
        <v>494.3</v>
      </c>
      <c r="J466" s="9">
        <v>494.3</v>
      </c>
      <c r="K466" s="188">
        <f t="shared" si="32"/>
        <v>0</v>
      </c>
      <c r="L466" s="10"/>
    </row>
    <row r="467" spans="1:12" ht="56.25" customHeight="1" hidden="1">
      <c r="A467" s="129">
        <v>7</v>
      </c>
      <c r="B467" s="113" t="s">
        <v>255</v>
      </c>
      <c r="C467" s="12">
        <v>370</v>
      </c>
      <c r="D467" s="12">
        <v>271.9</v>
      </c>
      <c r="E467" s="9">
        <f t="shared" si="31"/>
        <v>98.10000000000002</v>
      </c>
      <c r="F467" s="89">
        <f t="shared" si="29"/>
        <v>26.513513513513516</v>
      </c>
      <c r="G467" s="12">
        <v>271.9</v>
      </c>
      <c r="H467" s="89">
        <f t="shared" si="30"/>
        <v>0</v>
      </c>
      <c r="I467" s="12">
        <v>271.9</v>
      </c>
      <c r="J467" s="12">
        <v>271.9</v>
      </c>
      <c r="K467" s="188">
        <f t="shared" si="32"/>
        <v>0</v>
      </c>
      <c r="L467" s="10"/>
    </row>
    <row r="468" spans="1:12" ht="48.75" customHeight="1" hidden="1">
      <c r="A468" s="129">
        <v>8</v>
      </c>
      <c r="B468" s="133" t="s">
        <v>256</v>
      </c>
      <c r="C468" s="12">
        <v>800</v>
      </c>
      <c r="D468" s="12">
        <v>800</v>
      </c>
      <c r="E468" s="9">
        <f t="shared" si="31"/>
        <v>0</v>
      </c>
      <c r="F468" s="89">
        <f t="shared" si="29"/>
        <v>0</v>
      </c>
      <c r="G468" s="12">
        <v>0</v>
      </c>
      <c r="H468" s="89">
        <f t="shared" si="30"/>
        <v>-800</v>
      </c>
      <c r="I468" s="12">
        <v>0</v>
      </c>
      <c r="J468" s="12">
        <v>0</v>
      </c>
      <c r="K468" s="188">
        <f t="shared" si="32"/>
        <v>800</v>
      </c>
      <c r="L468" s="10"/>
    </row>
    <row r="469" spans="1:12" ht="50.25" hidden="1">
      <c r="A469" s="129">
        <v>9</v>
      </c>
      <c r="B469" s="113" t="s">
        <v>258</v>
      </c>
      <c r="C469" s="12">
        <v>370</v>
      </c>
      <c r="D469" s="12">
        <v>360.8</v>
      </c>
      <c r="E469" s="9">
        <f t="shared" si="31"/>
        <v>9.199999999999989</v>
      </c>
      <c r="F469" s="89">
        <f t="shared" si="29"/>
        <v>2.486486486486484</v>
      </c>
      <c r="G469" s="12">
        <v>360.8</v>
      </c>
      <c r="H469" s="89">
        <f t="shared" si="30"/>
        <v>0</v>
      </c>
      <c r="I469" s="12">
        <v>360.8</v>
      </c>
      <c r="J469" s="12">
        <v>360.8</v>
      </c>
      <c r="K469" s="188">
        <f t="shared" si="32"/>
        <v>0</v>
      </c>
      <c r="L469" s="10"/>
    </row>
    <row r="470" spans="1:12" ht="51" customHeight="1" hidden="1">
      <c r="A470" s="129">
        <v>10</v>
      </c>
      <c r="B470" s="113" t="s">
        <v>257</v>
      </c>
      <c r="C470" s="12">
        <v>400</v>
      </c>
      <c r="D470" s="12">
        <v>400</v>
      </c>
      <c r="E470" s="9">
        <f t="shared" si="31"/>
        <v>0</v>
      </c>
      <c r="F470" s="89">
        <f t="shared" si="29"/>
        <v>0</v>
      </c>
      <c r="G470" s="12">
        <v>400</v>
      </c>
      <c r="H470" s="89">
        <f t="shared" si="30"/>
        <v>0</v>
      </c>
      <c r="I470" s="12">
        <v>400</v>
      </c>
      <c r="J470" s="12">
        <v>400</v>
      </c>
      <c r="K470" s="188">
        <f t="shared" si="32"/>
        <v>0</v>
      </c>
      <c r="L470" s="10"/>
    </row>
    <row r="471" spans="1:12" ht="50.25" hidden="1">
      <c r="A471" s="129">
        <v>11</v>
      </c>
      <c r="B471" s="113" t="s">
        <v>259</v>
      </c>
      <c r="C471" s="12">
        <v>60</v>
      </c>
      <c r="D471" s="12">
        <v>60</v>
      </c>
      <c r="E471" s="9">
        <f t="shared" si="31"/>
        <v>0</v>
      </c>
      <c r="F471" s="89">
        <f t="shared" si="29"/>
        <v>0</v>
      </c>
      <c r="G471" s="12">
        <v>60</v>
      </c>
      <c r="H471" s="89">
        <f t="shared" si="30"/>
        <v>0</v>
      </c>
      <c r="I471" s="12">
        <v>60</v>
      </c>
      <c r="J471" s="12">
        <v>60</v>
      </c>
      <c r="K471" s="188">
        <f t="shared" si="32"/>
        <v>0</v>
      </c>
      <c r="L471" s="10"/>
    </row>
    <row r="472" spans="1:12" ht="50.25" hidden="1">
      <c r="A472" s="129">
        <v>12</v>
      </c>
      <c r="B472" s="113" t="s">
        <v>260</v>
      </c>
      <c r="C472" s="35">
        <v>150</v>
      </c>
      <c r="D472" s="35">
        <v>84.3</v>
      </c>
      <c r="E472" s="9">
        <f t="shared" si="31"/>
        <v>65.7</v>
      </c>
      <c r="F472" s="89">
        <f t="shared" si="29"/>
        <v>43.800000000000004</v>
      </c>
      <c r="G472" s="35">
        <v>84.2</v>
      </c>
      <c r="H472" s="89">
        <f t="shared" si="30"/>
        <v>-0.09999999999999432</v>
      </c>
      <c r="I472" s="35">
        <v>84.2</v>
      </c>
      <c r="J472" s="35">
        <v>84.2</v>
      </c>
      <c r="K472" s="188">
        <f t="shared" si="32"/>
        <v>0.09999999999999432</v>
      </c>
      <c r="L472" s="10"/>
    </row>
    <row r="473" spans="1:12" ht="50.25" hidden="1">
      <c r="A473" s="129">
        <v>13</v>
      </c>
      <c r="B473" s="108" t="s">
        <v>396</v>
      </c>
      <c r="C473" s="35">
        <v>200</v>
      </c>
      <c r="D473" s="35">
        <v>200</v>
      </c>
      <c r="E473" s="9">
        <f t="shared" si="31"/>
        <v>0</v>
      </c>
      <c r="F473" s="89">
        <f t="shared" si="29"/>
        <v>0</v>
      </c>
      <c r="G473" s="35">
        <v>200</v>
      </c>
      <c r="H473" s="89">
        <f t="shared" si="30"/>
        <v>0</v>
      </c>
      <c r="I473" s="35">
        <v>200</v>
      </c>
      <c r="J473" s="35">
        <v>200</v>
      </c>
      <c r="K473" s="188">
        <f t="shared" si="32"/>
        <v>0</v>
      </c>
      <c r="L473" s="10"/>
    </row>
    <row r="474" spans="1:12" ht="32.25" customHeight="1" hidden="1">
      <c r="A474" s="368" t="s">
        <v>47</v>
      </c>
      <c r="B474" s="369"/>
      <c r="C474" s="73">
        <v>1224.2</v>
      </c>
      <c r="D474" s="73">
        <f>D475</f>
        <v>1175.2</v>
      </c>
      <c r="E474" s="73">
        <f t="shared" si="31"/>
        <v>49</v>
      </c>
      <c r="F474" s="73">
        <f t="shared" si="29"/>
        <v>4.002613951968641</v>
      </c>
      <c r="G474" s="73">
        <f>G475</f>
        <v>1066.03809</v>
      </c>
      <c r="H474" s="73">
        <f t="shared" si="30"/>
        <v>-109.16191000000003</v>
      </c>
      <c r="I474" s="73">
        <f>I475</f>
        <v>1066</v>
      </c>
      <c r="J474" s="73">
        <f>J475</f>
        <v>1066</v>
      </c>
      <c r="K474" s="188">
        <f t="shared" si="32"/>
        <v>109.20000000000005</v>
      </c>
      <c r="L474" s="77"/>
    </row>
    <row r="475" spans="1:12" ht="66.75" hidden="1">
      <c r="A475" s="98">
        <v>1</v>
      </c>
      <c r="B475" s="99" t="s">
        <v>514</v>
      </c>
      <c r="C475" s="9">
        <v>1224.2</v>
      </c>
      <c r="D475" s="9">
        <v>1175.2</v>
      </c>
      <c r="E475" s="9">
        <f t="shared" si="31"/>
        <v>49</v>
      </c>
      <c r="F475" s="89">
        <f t="shared" si="29"/>
        <v>4.002613951968641</v>
      </c>
      <c r="G475" s="9">
        <v>1066.03809</v>
      </c>
      <c r="H475" s="89">
        <f t="shared" si="30"/>
        <v>-109.16191000000003</v>
      </c>
      <c r="I475" s="9">
        <v>1066</v>
      </c>
      <c r="J475" s="9">
        <v>1066</v>
      </c>
      <c r="K475" s="188">
        <f t="shared" si="32"/>
        <v>109.20000000000005</v>
      </c>
      <c r="L475" s="10"/>
    </row>
    <row r="476" spans="1:12" ht="24.75" customHeight="1" hidden="1">
      <c r="A476" s="144" t="s">
        <v>48</v>
      </c>
      <c r="B476" s="145"/>
      <c r="C476" s="73">
        <v>1280.8</v>
      </c>
      <c r="D476" s="73">
        <f>SUM(D477:D489)</f>
        <v>1229.6</v>
      </c>
      <c r="E476" s="73">
        <f t="shared" si="31"/>
        <v>51.200000000000045</v>
      </c>
      <c r="F476" s="73">
        <f t="shared" si="29"/>
        <v>3.9975015615240466</v>
      </c>
      <c r="G476" s="73">
        <f>SUM(G477:G489)</f>
        <v>1228.8</v>
      </c>
      <c r="H476" s="73">
        <f t="shared" si="30"/>
        <v>-0.7999999999999545</v>
      </c>
      <c r="I476" s="73">
        <f>SUM(I477:I489)</f>
        <v>1228.8</v>
      </c>
      <c r="J476" s="73">
        <f>SUM(J477:J489)</f>
        <v>1228.8</v>
      </c>
      <c r="K476" s="188">
        <f t="shared" si="32"/>
        <v>0.7999999999999545</v>
      </c>
      <c r="L476" s="77"/>
    </row>
    <row r="477" spans="1:12" ht="51" customHeight="1" hidden="1">
      <c r="A477" s="146">
        <v>1</v>
      </c>
      <c r="B477" s="95" t="s">
        <v>261</v>
      </c>
      <c r="C477" s="12">
        <v>60</v>
      </c>
      <c r="D477" s="12">
        <v>60</v>
      </c>
      <c r="E477" s="9">
        <f t="shared" si="31"/>
        <v>0</v>
      </c>
      <c r="F477" s="89">
        <f t="shared" si="29"/>
        <v>0</v>
      </c>
      <c r="G477" s="12">
        <v>60</v>
      </c>
      <c r="H477" s="89">
        <f t="shared" si="30"/>
        <v>0</v>
      </c>
      <c r="I477" s="12">
        <v>60</v>
      </c>
      <c r="J477" s="12">
        <v>60</v>
      </c>
      <c r="K477" s="188">
        <f t="shared" si="32"/>
        <v>0</v>
      </c>
      <c r="L477" s="10"/>
    </row>
    <row r="478" spans="1:12" ht="33" hidden="1">
      <c r="A478" s="146">
        <v>2</v>
      </c>
      <c r="B478" s="95" t="s">
        <v>262</v>
      </c>
      <c r="C478" s="12">
        <v>50</v>
      </c>
      <c r="D478" s="12">
        <v>50</v>
      </c>
      <c r="E478" s="9">
        <f t="shared" si="31"/>
        <v>0</v>
      </c>
      <c r="F478" s="89">
        <f t="shared" si="29"/>
        <v>0</v>
      </c>
      <c r="G478" s="12">
        <v>50</v>
      </c>
      <c r="H478" s="89">
        <f t="shared" si="30"/>
        <v>0</v>
      </c>
      <c r="I478" s="12">
        <v>50</v>
      </c>
      <c r="J478" s="12">
        <v>50</v>
      </c>
      <c r="K478" s="188">
        <f t="shared" si="32"/>
        <v>0</v>
      </c>
      <c r="L478" s="10"/>
    </row>
    <row r="479" spans="1:12" ht="50.25" hidden="1">
      <c r="A479" s="146">
        <v>3</v>
      </c>
      <c r="B479" s="95" t="s">
        <v>263</v>
      </c>
      <c r="C479" s="12">
        <v>150</v>
      </c>
      <c r="D479" s="12">
        <v>150</v>
      </c>
      <c r="E479" s="9">
        <f t="shared" si="31"/>
        <v>0</v>
      </c>
      <c r="F479" s="89">
        <f t="shared" si="29"/>
        <v>0</v>
      </c>
      <c r="G479" s="12">
        <v>150</v>
      </c>
      <c r="H479" s="89">
        <f t="shared" si="30"/>
        <v>0</v>
      </c>
      <c r="I479" s="12">
        <v>150</v>
      </c>
      <c r="J479" s="12">
        <v>150</v>
      </c>
      <c r="K479" s="188">
        <f t="shared" si="32"/>
        <v>0</v>
      </c>
      <c r="L479" s="10"/>
    </row>
    <row r="480" spans="1:12" ht="33" hidden="1">
      <c r="A480" s="147">
        <v>4</v>
      </c>
      <c r="B480" s="106" t="s">
        <v>264</v>
      </c>
      <c r="C480" s="12">
        <v>130</v>
      </c>
      <c r="D480" s="12">
        <v>130</v>
      </c>
      <c r="E480" s="9">
        <f t="shared" si="31"/>
        <v>0</v>
      </c>
      <c r="F480" s="89">
        <f t="shared" si="29"/>
        <v>0</v>
      </c>
      <c r="G480" s="12">
        <v>130</v>
      </c>
      <c r="H480" s="89">
        <f t="shared" si="30"/>
        <v>0</v>
      </c>
      <c r="I480" s="12">
        <v>130</v>
      </c>
      <c r="J480" s="12">
        <v>130</v>
      </c>
      <c r="K480" s="188">
        <f t="shared" si="32"/>
        <v>0</v>
      </c>
      <c r="L480" s="10"/>
    </row>
    <row r="481" spans="1:12" ht="54" customHeight="1" hidden="1">
      <c r="A481" s="146">
        <v>5</v>
      </c>
      <c r="B481" s="95" t="s">
        <v>515</v>
      </c>
      <c r="C481" s="12">
        <v>254.2</v>
      </c>
      <c r="D481" s="12">
        <v>203</v>
      </c>
      <c r="E481" s="9">
        <f t="shared" si="31"/>
        <v>51.19999999999999</v>
      </c>
      <c r="F481" s="89">
        <f t="shared" si="29"/>
        <v>20.14162077104642</v>
      </c>
      <c r="G481" s="12">
        <v>203</v>
      </c>
      <c r="H481" s="89">
        <f t="shared" si="30"/>
        <v>0</v>
      </c>
      <c r="I481" s="12">
        <v>203</v>
      </c>
      <c r="J481" s="12">
        <v>203</v>
      </c>
      <c r="K481" s="188">
        <f t="shared" si="32"/>
        <v>0</v>
      </c>
      <c r="L481" s="10"/>
    </row>
    <row r="482" spans="1:12" ht="50.25" hidden="1">
      <c r="A482" s="146">
        <v>6</v>
      </c>
      <c r="B482" s="95" t="s">
        <v>265</v>
      </c>
      <c r="C482" s="12">
        <v>150</v>
      </c>
      <c r="D482" s="12">
        <v>150</v>
      </c>
      <c r="E482" s="9">
        <f t="shared" si="31"/>
        <v>0</v>
      </c>
      <c r="F482" s="89">
        <f t="shared" si="29"/>
        <v>0</v>
      </c>
      <c r="G482" s="12">
        <v>150</v>
      </c>
      <c r="H482" s="89">
        <f t="shared" si="30"/>
        <v>0</v>
      </c>
      <c r="I482" s="12">
        <v>150</v>
      </c>
      <c r="J482" s="12">
        <v>150</v>
      </c>
      <c r="K482" s="188">
        <f t="shared" si="32"/>
        <v>0</v>
      </c>
      <c r="L482" s="10"/>
    </row>
    <row r="483" spans="1:12" ht="50.25" hidden="1">
      <c r="A483" s="146">
        <v>7</v>
      </c>
      <c r="B483" s="113" t="s">
        <v>266</v>
      </c>
      <c r="C483" s="12">
        <v>140</v>
      </c>
      <c r="D483" s="12">
        <v>140</v>
      </c>
      <c r="E483" s="9">
        <f t="shared" si="31"/>
        <v>0</v>
      </c>
      <c r="F483" s="89">
        <f t="shared" si="29"/>
        <v>0</v>
      </c>
      <c r="G483" s="12">
        <v>140</v>
      </c>
      <c r="H483" s="89">
        <f t="shared" si="30"/>
        <v>0</v>
      </c>
      <c r="I483" s="12">
        <v>140</v>
      </c>
      <c r="J483" s="12">
        <v>140</v>
      </c>
      <c r="K483" s="188">
        <f t="shared" si="32"/>
        <v>0</v>
      </c>
      <c r="L483" s="10"/>
    </row>
    <row r="484" spans="1:12" ht="33" customHeight="1" hidden="1">
      <c r="A484" s="146">
        <v>8</v>
      </c>
      <c r="B484" s="113" t="s">
        <v>267</v>
      </c>
      <c r="C484" s="12">
        <v>100</v>
      </c>
      <c r="D484" s="12">
        <v>100</v>
      </c>
      <c r="E484" s="9">
        <f t="shared" si="31"/>
        <v>0</v>
      </c>
      <c r="F484" s="89">
        <f t="shared" si="29"/>
        <v>0</v>
      </c>
      <c r="G484" s="12">
        <v>99.2</v>
      </c>
      <c r="H484" s="89">
        <f t="shared" si="30"/>
        <v>-0.7999999999999972</v>
      </c>
      <c r="I484" s="12">
        <v>99.2</v>
      </c>
      <c r="J484" s="12">
        <v>99.2</v>
      </c>
      <c r="K484" s="188">
        <f t="shared" si="32"/>
        <v>0.7999999999999972</v>
      </c>
      <c r="L484" s="10"/>
    </row>
    <row r="485" spans="1:12" ht="54" customHeight="1" hidden="1">
      <c r="A485" s="148">
        <v>9</v>
      </c>
      <c r="B485" s="133" t="s">
        <v>268</v>
      </c>
      <c r="C485" s="12">
        <v>77.5</v>
      </c>
      <c r="D485" s="12">
        <v>77.5</v>
      </c>
      <c r="E485" s="9">
        <f t="shared" si="31"/>
        <v>0</v>
      </c>
      <c r="F485" s="89">
        <f t="shared" si="29"/>
        <v>0</v>
      </c>
      <c r="G485" s="12">
        <v>77.5</v>
      </c>
      <c r="H485" s="89">
        <f t="shared" si="30"/>
        <v>0</v>
      </c>
      <c r="I485" s="12">
        <v>77.5</v>
      </c>
      <c r="J485" s="12">
        <v>77.5</v>
      </c>
      <c r="K485" s="188">
        <f t="shared" si="32"/>
        <v>0</v>
      </c>
      <c r="L485" s="10"/>
    </row>
    <row r="486" spans="1:12" ht="52.5" customHeight="1" hidden="1">
      <c r="A486" s="148">
        <v>10</v>
      </c>
      <c r="B486" s="133" t="s">
        <v>361</v>
      </c>
      <c r="C486" s="12">
        <v>30</v>
      </c>
      <c r="D486" s="12">
        <v>30</v>
      </c>
      <c r="E486" s="9">
        <f t="shared" si="31"/>
        <v>0</v>
      </c>
      <c r="F486" s="89">
        <f t="shared" si="29"/>
        <v>0</v>
      </c>
      <c r="G486" s="12">
        <v>30</v>
      </c>
      <c r="H486" s="89">
        <f t="shared" si="30"/>
        <v>0</v>
      </c>
      <c r="I486" s="12">
        <v>30</v>
      </c>
      <c r="J486" s="12">
        <v>30</v>
      </c>
      <c r="K486" s="188">
        <f t="shared" si="32"/>
        <v>0</v>
      </c>
      <c r="L486" s="10"/>
    </row>
    <row r="487" spans="1:12" ht="54" customHeight="1" hidden="1">
      <c r="A487" s="148">
        <v>11</v>
      </c>
      <c r="B487" s="113" t="s">
        <v>271</v>
      </c>
      <c r="C487" s="12">
        <v>10</v>
      </c>
      <c r="D487" s="12">
        <v>10</v>
      </c>
      <c r="E487" s="9">
        <f t="shared" si="31"/>
        <v>0</v>
      </c>
      <c r="F487" s="89">
        <f t="shared" si="29"/>
        <v>0</v>
      </c>
      <c r="G487" s="12">
        <v>10</v>
      </c>
      <c r="H487" s="89">
        <f t="shared" si="30"/>
        <v>0</v>
      </c>
      <c r="I487" s="12">
        <v>10</v>
      </c>
      <c r="J487" s="12">
        <v>10</v>
      </c>
      <c r="K487" s="188">
        <f t="shared" si="32"/>
        <v>0</v>
      </c>
      <c r="L487" s="10"/>
    </row>
    <row r="488" spans="1:12" ht="38.25" customHeight="1" hidden="1">
      <c r="A488" s="148">
        <v>12</v>
      </c>
      <c r="B488" s="113" t="s">
        <v>269</v>
      </c>
      <c r="C488" s="12">
        <v>65</v>
      </c>
      <c r="D488" s="12">
        <v>65</v>
      </c>
      <c r="E488" s="9">
        <f t="shared" si="31"/>
        <v>0</v>
      </c>
      <c r="F488" s="89">
        <f t="shared" si="29"/>
        <v>0</v>
      </c>
      <c r="G488" s="12">
        <v>65</v>
      </c>
      <c r="H488" s="89">
        <f t="shared" si="30"/>
        <v>0</v>
      </c>
      <c r="I488" s="12">
        <v>65</v>
      </c>
      <c r="J488" s="12">
        <v>65</v>
      </c>
      <c r="K488" s="188">
        <f t="shared" si="32"/>
        <v>0</v>
      </c>
      <c r="L488" s="10"/>
    </row>
    <row r="489" spans="1:12" ht="53.25" customHeight="1" hidden="1">
      <c r="A489" s="148">
        <v>13</v>
      </c>
      <c r="B489" s="113" t="s">
        <v>270</v>
      </c>
      <c r="C489" s="12">
        <v>64.1</v>
      </c>
      <c r="D489" s="12">
        <v>64.1</v>
      </c>
      <c r="E489" s="9">
        <f t="shared" si="31"/>
        <v>0</v>
      </c>
      <c r="F489" s="89">
        <f t="shared" si="29"/>
        <v>0</v>
      </c>
      <c r="G489" s="12">
        <v>64.1</v>
      </c>
      <c r="H489" s="89">
        <f t="shared" si="30"/>
        <v>0</v>
      </c>
      <c r="I489" s="12">
        <v>64.1</v>
      </c>
      <c r="J489" s="12">
        <v>64.1</v>
      </c>
      <c r="K489" s="188">
        <f t="shared" si="32"/>
        <v>0</v>
      </c>
      <c r="L489" s="10"/>
    </row>
    <row r="490" spans="1:12" ht="24" customHeight="1" hidden="1">
      <c r="A490" s="142" t="s">
        <v>49</v>
      </c>
      <c r="B490" s="97"/>
      <c r="C490" s="73">
        <v>2422.7</v>
      </c>
      <c r="D490" s="73">
        <f>D491</f>
        <v>2325.8</v>
      </c>
      <c r="E490" s="73">
        <f t="shared" si="31"/>
        <v>96.89999999999964</v>
      </c>
      <c r="F490" s="73">
        <f t="shared" si="29"/>
        <v>3.9996697899038196</v>
      </c>
      <c r="G490" s="73">
        <f>G491</f>
        <v>2325.8</v>
      </c>
      <c r="H490" s="73">
        <f t="shared" si="30"/>
        <v>0</v>
      </c>
      <c r="I490" s="73">
        <f>I491</f>
        <v>2325.8</v>
      </c>
      <c r="J490" s="73">
        <f>J491</f>
        <v>2325.8</v>
      </c>
      <c r="K490" s="188">
        <f t="shared" si="32"/>
        <v>0</v>
      </c>
      <c r="L490" s="77"/>
    </row>
    <row r="491" spans="1:12" ht="23.25" customHeight="1" hidden="1">
      <c r="A491" s="98">
        <v>1</v>
      </c>
      <c r="B491" s="99" t="s">
        <v>64</v>
      </c>
      <c r="C491" s="9">
        <v>2422.7</v>
      </c>
      <c r="D491" s="182">
        <v>2325.8</v>
      </c>
      <c r="E491" s="9">
        <f t="shared" si="31"/>
        <v>96.89999999999964</v>
      </c>
      <c r="F491" s="89">
        <f t="shared" si="29"/>
        <v>3.9996697899038196</v>
      </c>
      <c r="G491" s="9">
        <v>2325.8</v>
      </c>
      <c r="H491" s="89">
        <f t="shared" si="30"/>
        <v>0</v>
      </c>
      <c r="I491" s="9">
        <v>2325.8</v>
      </c>
      <c r="J491" s="9">
        <v>2325.8</v>
      </c>
      <c r="K491" s="188">
        <f t="shared" si="32"/>
        <v>0</v>
      </c>
      <c r="L491" s="10"/>
    </row>
    <row r="492" spans="1:12" ht="22.5" customHeight="1" hidden="1">
      <c r="A492" s="368" t="s">
        <v>55</v>
      </c>
      <c r="B492" s="369"/>
      <c r="C492" s="73">
        <v>3196.8</v>
      </c>
      <c r="D492" s="73">
        <f>SUM(D493:D494)</f>
        <v>3068.9</v>
      </c>
      <c r="E492" s="73">
        <f t="shared" si="31"/>
        <v>127.90000000000009</v>
      </c>
      <c r="F492" s="73">
        <f t="shared" si="29"/>
        <v>4.000875875875877</v>
      </c>
      <c r="G492" s="73">
        <f>SUM(G493:G494)</f>
        <v>3068.9</v>
      </c>
      <c r="H492" s="73">
        <f t="shared" si="30"/>
        <v>0</v>
      </c>
      <c r="I492" s="73">
        <f>SUM(I493:I494)</f>
        <v>3068.9</v>
      </c>
      <c r="J492" s="73">
        <f>SUM(J493:J494)</f>
        <v>3068.9</v>
      </c>
      <c r="K492" s="188">
        <f t="shared" si="32"/>
        <v>0</v>
      </c>
      <c r="L492" s="77"/>
    </row>
    <row r="493" spans="1:12" ht="46.5" customHeight="1" hidden="1">
      <c r="A493" s="94">
        <v>1</v>
      </c>
      <c r="B493" s="112" t="s">
        <v>76</v>
      </c>
      <c r="C493" s="12">
        <v>199</v>
      </c>
      <c r="D493" s="12">
        <v>199</v>
      </c>
      <c r="E493" s="9">
        <f t="shared" si="31"/>
        <v>0</v>
      </c>
      <c r="F493" s="89">
        <f t="shared" si="29"/>
        <v>0</v>
      </c>
      <c r="G493" s="12">
        <v>199</v>
      </c>
      <c r="H493" s="89">
        <f t="shared" si="30"/>
        <v>0</v>
      </c>
      <c r="I493" s="12">
        <v>199</v>
      </c>
      <c r="J493" s="12">
        <v>199</v>
      </c>
      <c r="K493" s="188">
        <f t="shared" si="32"/>
        <v>0</v>
      </c>
      <c r="L493" s="10"/>
    </row>
    <row r="494" spans="1:12" ht="35.25" customHeight="1" hidden="1">
      <c r="A494" s="94">
        <v>2</v>
      </c>
      <c r="B494" s="112" t="s">
        <v>77</v>
      </c>
      <c r="C494" s="12">
        <v>2997.8</v>
      </c>
      <c r="D494" s="12">
        <v>2869.9</v>
      </c>
      <c r="E494" s="9">
        <f t="shared" si="31"/>
        <v>127.90000000000009</v>
      </c>
      <c r="F494" s="89">
        <f t="shared" si="29"/>
        <v>4.266462072186272</v>
      </c>
      <c r="G494" s="12">
        <v>2869.9</v>
      </c>
      <c r="H494" s="89">
        <f t="shared" si="30"/>
        <v>0</v>
      </c>
      <c r="I494" s="12">
        <v>2869.9</v>
      </c>
      <c r="J494" s="12">
        <v>2869.9</v>
      </c>
      <c r="K494" s="188">
        <f t="shared" si="32"/>
        <v>0</v>
      </c>
      <c r="L494" s="10"/>
    </row>
    <row r="495" spans="1:12" ht="21" customHeight="1">
      <c r="A495" s="368" t="s">
        <v>51</v>
      </c>
      <c r="B495" s="369"/>
      <c r="C495" s="73">
        <v>1812.7</v>
      </c>
      <c r="D495" s="73">
        <f>SUM(D496:D500)</f>
        <v>1740.1999999999998</v>
      </c>
      <c r="E495" s="73">
        <f t="shared" si="31"/>
        <v>72.50000000000023</v>
      </c>
      <c r="F495" s="73">
        <f t="shared" si="29"/>
        <v>3.9995586693882217</v>
      </c>
      <c r="G495" s="73">
        <f>SUM(G496:G500)</f>
        <v>1764.9099999999999</v>
      </c>
      <c r="H495" s="73">
        <f t="shared" si="30"/>
        <v>24.710000000000036</v>
      </c>
      <c r="I495" s="73">
        <f>SUM(I496:I500)</f>
        <v>1012.6999999999999</v>
      </c>
      <c r="J495" s="73">
        <f>SUM(J496:J500)</f>
        <v>1012.6999999999999</v>
      </c>
      <c r="K495" s="188">
        <f t="shared" si="32"/>
        <v>727.4999999999999</v>
      </c>
      <c r="L495" s="77"/>
    </row>
    <row r="496" spans="1:12" ht="21.75" customHeight="1">
      <c r="A496" s="135">
        <v>1</v>
      </c>
      <c r="B496" s="95" t="s">
        <v>364</v>
      </c>
      <c r="C496" s="9">
        <v>800</v>
      </c>
      <c r="D496" s="9">
        <v>727.5</v>
      </c>
      <c r="E496" s="9">
        <f t="shared" si="31"/>
        <v>72.5</v>
      </c>
      <c r="F496" s="89">
        <f t="shared" si="29"/>
        <v>9.0625</v>
      </c>
      <c r="G496" s="9">
        <v>752.21</v>
      </c>
      <c r="H496" s="89">
        <f t="shared" si="30"/>
        <v>24.710000000000036</v>
      </c>
      <c r="I496" s="9"/>
      <c r="J496" s="9"/>
      <c r="K496" s="188">
        <f t="shared" si="32"/>
        <v>727.5</v>
      </c>
      <c r="L496" s="10"/>
    </row>
    <row r="497" spans="1:12" ht="21.75" customHeight="1">
      <c r="A497" s="135">
        <v>2</v>
      </c>
      <c r="B497" s="95" t="s">
        <v>365</v>
      </c>
      <c r="C497" s="9">
        <v>166.3</v>
      </c>
      <c r="D497" s="9">
        <v>166.3</v>
      </c>
      <c r="E497" s="9">
        <f t="shared" si="31"/>
        <v>0</v>
      </c>
      <c r="F497" s="89">
        <f t="shared" si="29"/>
        <v>0</v>
      </c>
      <c r="G497" s="9">
        <v>166.3</v>
      </c>
      <c r="H497" s="89">
        <f t="shared" si="30"/>
        <v>0</v>
      </c>
      <c r="I497" s="9">
        <v>166.3</v>
      </c>
      <c r="J497" s="9">
        <v>166.3</v>
      </c>
      <c r="K497" s="188">
        <f t="shared" si="32"/>
        <v>0</v>
      </c>
      <c r="L497" s="10"/>
    </row>
    <row r="498" spans="1:12" ht="23.25" customHeight="1">
      <c r="A498" s="135">
        <v>3</v>
      </c>
      <c r="B498" s="95" t="s">
        <v>362</v>
      </c>
      <c r="C498" s="9">
        <v>380.5</v>
      </c>
      <c r="D498" s="9">
        <v>380.5</v>
      </c>
      <c r="E498" s="9">
        <f t="shared" si="31"/>
        <v>0</v>
      </c>
      <c r="F498" s="89">
        <f t="shared" si="29"/>
        <v>0</v>
      </c>
      <c r="G498" s="9">
        <v>380.5</v>
      </c>
      <c r="H498" s="89">
        <f t="shared" si="30"/>
        <v>0</v>
      </c>
      <c r="I498" s="9">
        <v>380.5</v>
      </c>
      <c r="J498" s="9">
        <v>380.5</v>
      </c>
      <c r="K498" s="188">
        <f t="shared" si="32"/>
        <v>0</v>
      </c>
      <c r="L498" s="10"/>
    </row>
    <row r="499" spans="1:12" ht="32.25" customHeight="1">
      <c r="A499" s="135">
        <v>4</v>
      </c>
      <c r="B499" s="95" t="s">
        <v>363</v>
      </c>
      <c r="C499" s="9">
        <v>301.8</v>
      </c>
      <c r="D499" s="9">
        <v>301.8</v>
      </c>
      <c r="E499" s="9">
        <f t="shared" si="31"/>
        <v>0</v>
      </c>
      <c r="F499" s="89">
        <f t="shared" si="29"/>
        <v>0</v>
      </c>
      <c r="G499" s="9">
        <v>301.8</v>
      </c>
      <c r="H499" s="89">
        <f t="shared" si="30"/>
        <v>0</v>
      </c>
      <c r="I499" s="9">
        <v>301.8</v>
      </c>
      <c r="J499" s="9">
        <v>301.8</v>
      </c>
      <c r="K499" s="188">
        <f t="shared" si="32"/>
        <v>0</v>
      </c>
      <c r="L499" s="10"/>
    </row>
    <row r="500" spans="1:12" ht="34.5" customHeight="1">
      <c r="A500" s="98">
        <v>5</v>
      </c>
      <c r="B500" s="99" t="s">
        <v>366</v>
      </c>
      <c r="C500" s="9">
        <v>164.1</v>
      </c>
      <c r="D500" s="9">
        <v>164.1</v>
      </c>
      <c r="E500" s="9">
        <f t="shared" si="31"/>
        <v>0</v>
      </c>
      <c r="F500" s="89">
        <f t="shared" si="29"/>
        <v>0</v>
      </c>
      <c r="G500" s="9">
        <v>164.1</v>
      </c>
      <c r="H500" s="89">
        <f t="shared" si="30"/>
        <v>0</v>
      </c>
      <c r="I500" s="9">
        <v>164.1</v>
      </c>
      <c r="J500" s="9">
        <v>164.1</v>
      </c>
      <c r="K500" s="188">
        <f t="shared" si="32"/>
        <v>0</v>
      </c>
      <c r="L500" s="10"/>
    </row>
    <row r="501" spans="1:12" ht="18.75" customHeight="1" hidden="1">
      <c r="A501" s="368" t="s">
        <v>50</v>
      </c>
      <c r="B501" s="369"/>
      <c r="C501" s="87">
        <v>1668.5</v>
      </c>
      <c r="D501" s="87">
        <f>SUM(D502:D503)</f>
        <v>1601.8</v>
      </c>
      <c r="E501" s="73">
        <f t="shared" si="31"/>
        <v>66.70000000000005</v>
      </c>
      <c r="F501" s="73">
        <f t="shared" si="29"/>
        <v>3.9976026370991917</v>
      </c>
      <c r="G501" s="87">
        <f>SUM(G502:G503)</f>
        <v>1601.8</v>
      </c>
      <c r="H501" s="73">
        <f t="shared" si="30"/>
        <v>0</v>
      </c>
      <c r="I501" s="87">
        <f>SUM(I502:I503)</f>
        <v>1601.8</v>
      </c>
      <c r="J501" s="87">
        <f>SUM(J502:J503)</f>
        <v>1601.8</v>
      </c>
      <c r="K501" s="188">
        <f t="shared" si="32"/>
        <v>0</v>
      </c>
      <c r="L501" s="77"/>
    </row>
    <row r="502" spans="1:12" ht="22.5" customHeight="1" hidden="1">
      <c r="A502" s="94">
        <v>1</v>
      </c>
      <c r="B502" s="112" t="s">
        <v>516</v>
      </c>
      <c r="C502" s="9">
        <v>868.5</v>
      </c>
      <c r="D502" s="9">
        <v>801.8</v>
      </c>
      <c r="E502" s="9">
        <f t="shared" si="31"/>
        <v>66.70000000000005</v>
      </c>
      <c r="F502" s="89">
        <f>100-D502/C502*100</f>
        <v>7.679907887161775</v>
      </c>
      <c r="G502" s="37">
        <v>801.8</v>
      </c>
      <c r="H502" s="89">
        <f>G502-D502</f>
        <v>0</v>
      </c>
      <c r="I502" s="9">
        <v>801.8</v>
      </c>
      <c r="J502" s="9">
        <v>801.8</v>
      </c>
      <c r="K502" s="188">
        <f t="shared" si="32"/>
        <v>0</v>
      </c>
      <c r="L502" s="13"/>
    </row>
    <row r="503" spans="1:12" ht="24" customHeight="1" hidden="1">
      <c r="A503" s="94">
        <v>2</v>
      </c>
      <c r="B503" s="112" t="s">
        <v>65</v>
      </c>
      <c r="C503" s="9">
        <v>800</v>
      </c>
      <c r="D503" s="9">
        <v>800</v>
      </c>
      <c r="E503" s="9">
        <f t="shared" si="31"/>
        <v>0</v>
      </c>
      <c r="F503" s="89">
        <f>100-D503/C503*100</f>
        <v>0</v>
      </c>
      <c r="G503" s="37">
        <v>800</v>
      </c>
      <c r="H503" s="89">
        <f>G503-D503</f>
        <v>0</v>
      </c>
      <c r="I503" s="9">
        <v>800</v>
      </c>
      <c r="J503" s="9">
        <v>800</v>
      </c>
      <c r="K503" s="188">
        <f t="shared" si="32"/>
        <v>0</v>
      </c>
      <c r="L503" s="13"/>
    </row>
    <row r="504" spans="2:12" ht="21" customHeight="1" hidden="1">
      <c r="B504" s="192" t="s">
        <v>54</v>
      </c>
      <c r="C504" s="193">
        <v>200000</v>
      </c>
      <c r="D504" s="194">
        <f>D7+D12+D33+D52+D60+D68+D75+D213+D303+D310+D312+D315+D317+D324+D328+D330+D338+D342+D357+D360+D362+D367+D369+D373+D376+D379+D382+D400+D402+D405+D431+D434+D439+D450+D460+D474+D476+D490+D492+D495+D501+D29</f>
        <v>191999.86501</v>
      </c>
      <c r="E504" s="194">
        <f>C504-D504</f>
        <v>8000.134989999991</v>
      </c>
      <c r="F504" s="195">
        <f>100-D504/C504*100</f>
        <v>4.000067494999996</v>
      </c>
      <c r="G504" s="194">
        <f>G7+G12+G33+G52+G60+G68+G75+G213+G303+G310+G312+G315+G317+G324+G328+G330+G338+G342+G357+G360+G362+G367+G369+G373+G376+G379+G382+G400+G402+G405+G431+G434+G439+G450+G460+G474+G476+G490+G492+G495+G501+G29</f>
        <v>183530.73464999994</v>
      </c>
      <c r="H504" s="195">
        <f>G504-D504</f>
        <v>-8469.130360000068</v>
      </c>
      <c r="I504" s="193">
        <f>I7+I12+I33+I52+I60+I68+I75+I213+I303+I310+I312+I315+I317+I324+I328+I330+I338+I342+I357+I360+I362+I367+I369+I373+I376+I379+I382+I400+I402+I405+I431+I434+I439+I450+I460+I474+I476+I490+I492+I495+I501+I29</f>
        <v>131543.01570000002</v>
      </c>
      <c r="J504" s="193">
        <f>J7+J12+J33+J52+J60+J68+J75+J213+J303+J310+J312+J315+J317+J324+J328+J330+J338+J342+J357+J360+J362+J367+J369+J373+J376+J379+J382+J400+J402+J405+J431+J434+J439+J450+J460+J474+J476+J490+J492+J495+J501+J29</f>
        <v>108292.92310000004</v>
      </c>
      <c r="K504" s="195">
        <f t="shared" si="32"/>
        <v>60456.84930999999</v>
      </c>
      <c r="L504" s="196"/>
    </row>
    <row r="505" spans="2:8" ht="20.25">
      <c r="B505" s="192" t="s">
        <v>54</v>
      </c>
      <c r="C505" s="193">
        <f>C52+C213+C303+C312+C315+C317+C328+C367+C373+C382+C402+C495</f>
        <v>50305.799999999996</v>
      </c>
      <c r="D505" s="193">
        <f>D52+D213+D303+D312+D315+D317+D328+D367+D373+D382+D402+D495</f>
        <v>48293.59999999999</v>
      </c>
      <c r="E505" s="194">
        <f>C505-D505</f>
        <v>2012.2000000000044</v>
      </c>
      <c r="F505" s="195">
        <f>100-D505/C505*100</f>
        <v>3.9999363890446062</v>
      </c>
      <c r="G505" s="193">
        <f>G52+G213+G303+G312+G315+G317+G328+G367+G373+G382+G402+G495</f>
        <v>49889.59</v>
      </c>
      <c r="H505" s="195">
        <f>G505-D505</f>
        <v>1595.9900000000052</v>
      </c>
    </row>
  </sheetData>
  <sheetProtection/>
  <mergeCells count="46">
    <mergeCell ref="A501:B501"/>
    <mergeCell ref="A450:B450"/>
    <mergeCell ref="A460:B460"/>
    <mergeCell ref="A474:B474"/>
    <mergeCell ref="A492:B492"/>
    <mergeCell ref="A495:B495"/>
    <mergeCell ref="A379:B379"/>
    <mergeCell ref="A382:B382"/>
    <mergeCell ref="A402:B402"/>
    <mergeCell ref="L403:L404"/>
    <mergeCell ref="A405:B405"/>
    <mergeCell ref="A439:B439"/>
    <mergeCell ref="A328:B328"/>
    <mergeCell ref="A330:B330"/>
    <mergeCell ref="A338:B338"/>
    <mergeCell ref="A362:B362"/>
    <mergeCell ref="A369:B369"/>
    <mergeCell ref="A373:B373"/>
    <mergeCell ref="A303:B303"/>
    <mergeCell ref="A310:B310"/>
    <mergeCell ref="A312:B312"/>
    <mergeCell ref="A315:B315"/>
    <mergeCell ref="A317:B317"/>
    <mergeCell ref="A324:B324"/>
    <mergeCell ref="A52:B52"/>
    <mergeCell ref="L58:L59"/>
    <mergeCell ref="A60:B60"/>
    <mergeCell ref="A68:B68"/>
    <mergeCell ref="A75:B75"/>
    <mergeCell ref="A213:B213"/>
    <mergeCell ref="J4:J5"/>
    <mergeCell ref="K4:K5"/>
    <mergeCell ref="L4:L5"/>
    <mergeCell ref="A7:B7"/>
    <mergeCell ref="A29:B29"/>
    <mergeCell ref="A33:B33"/>
    <mergeCell ref="A1:L1"/>
    <mergeCell ref="A2:L2"/>
    <mergeCell ref="A4:A5"/>
    <mergeCell ref="B4:B5"/>
    <mergeCell ref="C4:C5"/>
    <mergeCell ref="D4:D5"/>
    <mergeCell ref="E4:F4"/>
    <mergeCell ref="G4:G5"/>
    <mergeCell ref="H4:H5"/>
    <mergeCell ref="I4:I5"/>
  </mergeCells>
  <printOptions/>
  <pageMargins left="0.7480314960629921" right="0.35433070866141736" top="0.984251968503937" bottom="0.3937007874015748"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Мединская Н С</cp:lastModifiedBy>
  <cp:lastPrinted>2019-06-21T09:36:50Z</cp:lastPrinted>
  <dcterms:created xsi:type="dcterms:W3CDTF">2015-03-03T04:31:44Z</dcterms:created>
  <dcterms:modified xsi:type="dcterms:W3CDTF">2019-06-21T09:37:12Z</dcterms:modified>
  <cp:category/>
  <cp:version/>
  <cp:contentType/>
  <cp:contentStatus/>
</cp:coreProperties>
</file>